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mtsinai-my.sharepoint.com/personal/rima_alnimr_mssm_edu/Documents/Education Team Hub/Palliative Care Program Development/"/>
    </mc:Choice>
  </mc:AlternateContent>
  <xr:revisionPtr revIDLastSave="18" documentId="8_{65B9400C-155C-413A-9865-4FB2C1A3EBC1}" xr6:coauthVersionLast="47" xr6:coauthVersionMax="47" xr10:uidLastSave="{5679051D-AF16-4C65-B5E1-7206F91E63F0}"/>
  <bookViews>
    <workbookView xWindow="28680" yWindow="-120" windowWidth="29040" windowHeight="15720" firstSheet="2" activeTab="1" xr2:uid="{00000000-000D-0000-FFFF-FFFF00000000}"/>
  </bookViews>
  <sheets>
    <sheet name="Instructions" sheetId="12" r:id="rId1"/>
    <sheet name="Staffing and Capacity" sheetId="9" r:id="rId2"/>
    <sheet name="Rev and Profit Calculations" sheetId="4" r:id="rId3"/>
    <sheet name="Break-Even Estimate" sheetId="11" r:id="rId4"/>
    <sheet name="Data Sources" sheetId="10" r:id="rId5"/>
  </sheets>
  <definedNames>
    <definedName name="_xlnm.Print_Area" localSheetId="2">'Rev and Profit Calculations'!$A$1:$I$47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4" l="1"/>
  <c r="H14" i="4"/>
  <c r="H8" i="4"/>
  <c r="H7" i="4"/>
  <c r="H5" i="4"/>
  <c r="B4" i="11"/>
  <c r="F15" i="4"/>
  <c r="F30" i="4" l="1"/>
  <c r="D17" i="4"/>
  <c r="D11" i="4"/>
  <c r="D6" i="4"/>
  <c r="E30" i="4"/>
  <c r="E5" i="4"/>
  <c r="D5" i="4"/>
  <c r="D10" i="4"/>
  <c r="B3" i="11" l="1"/>
  <c r="E34" i="4"/>
  <c r="D34" i="4"/>
  <c r="F34" i="4"/>
  <c r="J5" i="4"/>
  <c r="G34" i="4"/>
  <c r="D6" i="9"/>
  <c r="D5" i="9"/>
  <c r="D4" i="9"/>
  <c r="E10" i="4" l="1"/>
  <c r="C17" i="9"/>
  <c r="D19" i="9" s="1"/>
  <c r="E11" i="4" s="1"/>
  <c r="C25" i="9"/>
  <c r="C27" i="9" s="1"/>
  <c r="C29" i="9" s="1"/>
  <c r="D29" i="9" s="1"/>
  <c r="E6" i="4" s="1"/>
  <c r="C22" i="9"/>
  <c r="D23" i="9" s="1"/>
  <c r="E17" i="4" s="1"/>
  <c r="H5" i="9"/>
  <c r="H6" i="9"/>
  <c r="H7" i="9"/>
  <c r="H8" i="9"/>
  <c r="H9" i="9"/>
  <c r="H10" i="9"/>
  <c r="H4" i="9"/>
  <c r="E22" i="4" l="1"/>
  <c r="E21" i="4"/>
  <c r="E20" i="4"/>
  <c r="E18" i="4"/>
  <c r="E19" i="4"/>
  <c r="E14" i="4"/>
  <c r="E13" i="4"/>
  <c r="E12" i="4"/>
  <c r="E15" i="4"/>
  <c r="J15" i="4" s="1"/>
  <c r="E7" i="4"/>
  <c r="E8" i="4"/>
  <c r="J18" i="4"/>
  <c r="J19" i="4"/>
  <c r="J20" i="4"/>
  <c r="G35" i="4"/>
  <c r="J10" i="4"/>
  <c r="F35" i="4"/>
  <c r="D35" i="4"/>
  <c r="E35" i="4"/>
  <c r="H11" i="9"/>
  <c r="D44" i="4" s="1"/>
  <c r="D25" i="4"/>
  <c r="J14" i="4" l="1"/>
  <c r="J13" i="4"/>
  <c r="J12" i="4"/>
  <c r="J8" i="4"/>
  <c r="G38" i="4"/>
  <c r="D37" i="4"/>
  <c r="D38" i="4"/>
  <c r="F38" i="4"/>
  <c r="E38" i="4"/>
  <c r="G37" i="4"/>
  <c r="E37" i="4"/>
  <c r="F37" i="4"/>
  <c r="J22" i="4"/>
  <c r="J21" i="4"/>
  <c r="F39" i="4"/>
  <c r="D39" i="4"/>
  <c r="E39" i="4"/>
  <c r="G39" i="4"/>
  <c r="E25" i="4"/>
  <c r="F40" i="4" l="1"/>
  <c r="D40" i="4"/>
  <c r="E40" i="4"/>
  <c r="F36" i="4"/>
  <c r="J7" i="4"/>
  <c r="H43" i="4" s="1"/>
  <c r="J43" i="4" s="1"/>
  <c r="B6" i="11" s="1"/>
  <c r="G36" i="4"/>
  <c r="G41" i="4" s="1"/>
  <c r="E36" i="4"/>
  <c r="D36" i="4"/>
  <c r="F41" i="4" l="1"/>
  <c r="D41" i="4"/>
  <c r="E41" i="4"/>
  <c r="D43" i="4" l="1"/>
  <c r="D45" i="4" l="1"/>
  <c r="D46" i="4" l="1"/>
  <c r="B8" i="11"/>
  <c r="B10" i="11" s="1"/>
  <c r="B11" i="11" s="1"/>
</calcChain>
</file>

<file path=xl/sharedStrings.xml><?xml version="1.0" encoding="utf-8"?>
<sst xmlns="http://schemas.openxmlformats.org/spreadsheetml/2006/main" count="167" uniqueCount="144">
  <si>
    <t>How to Use This Workbook</t>
  </si>
  <si>
    <t>This workbook is designed to help you analyze and manage a Caregiver Support Program budget by calculating staffing capacity, revenue, profit/loss, and break-even volume</t>
  </si>
  <si>
    <t>Workbook Structure and Instructions</t>
  </si>
  <si>
    <t>1. Staffing and Capacity</t>
  </si>
  <si>
    <t xml:space="preserve"> Enter the number of FTE (proportion of a full-time 37.5-hour/week staff member) per role, and the average salary at your organization. Add additional lines as needed</t>
  </si>
  <si>
    <t xml:space="preserve"> The workbook is set to 8 psychological and 6 medical diagnostic visits per week. If your program expects different volumes of new patients, modify cells D16 and D26</t>
  </si>
  <si>
    <t>Adjust staffing levels or productivity targets to model different scenarios.</t>
  </si>
  <si>
    <t xml:space="preserve"> </t>
  </si>
  <si>
    <t>2. Rev and Profit Calculations</t>
  </si>
  <si>
    <r>
      <rPr>
        <b/>
        <sz val="12"/>
        <color rgb="FF000000"/>
        <rFont val="Calibri"/>
      </rPr>
      <t xml:space="preserve">   </t>
    </r>
    <r>
      <rPr>
        <sz val="12"/>
        <color rgb="FF000000"/>
        <rFont val="Calibri"/>
      </rPr>
      <t>Enter the expected mix of visit types in the green cells in column F</t>
    </r>
  </si>
  <si>
    <t xml:space="preserve">   The payment rates in column H are set to 85% of the Medicare rate, assuming the medical provider is not a physician. If you staff with MD or DO, delete the "*.85" in each of the column H cells</t>
  </si>
  <si>
    <r>
      <rPr>
        <b/>
        <sz val="12"/>
        <color rgb="FF000000"/>
        <rFont val="Calibri"/>
      </rPr>
      <t xml:space="preserve">   </t>
    </r>
    <r>
      <rPr>
        <sz val="12"/>
        <color rgb="FF000000"/>
        <rFont val="Calibri"/>
      </rPr>
      <t xml:space="preserve"> If you know your expected payer mix, enter it in the green cells on row 26; otherwise use the national average currently in the cell</t>
    </r>
  </si>
  <si>
    <t>This sheet will automatically calculate projected revenue and profit/loss based on staff capacity and visit mix entered</t>
  </si>
  <si>
    <t>Do not overwrite formulas — only update cells marked for user input.</t>
  </si>
  <si>
    <t>3. Data Sources</t>
  </si>
  <si>
    <t>Contains reference data for used in the calculations (e.g., billing rates, costs).</t>
  </si>
  <si>
    <t>This is for information purposes only</t>
  </si>
  <si>
    <r>
      <rPr>
        <b/>
        <sz val="12"/>
        <color rgb="FF000000"/>
        <rFont val="Calibri"/>
      </rPr>
      <t>Green cells</t>
    </r>
    <r>
      <rPr>
        <sz val="12"/>
        <color rgb="FF000000"/>
        <rFont val="Calibri"/>
      </rPr>
      <t xml:space="preserve"> =require you to input your specific program's expectations.</t>
    </r>
  </si>
  <si>
    <r>
      <rPr>
        <b/>
        <sz val="12"/>
        <color rgb="FF000000"/>
        <rFont val="Calibri"/>
      </rPr>
      <t>White cells</t>
    </r>
    <r>
      <rPr>
        <sz val="12"/>
        <color rgb="FF000000"/>
        <rFont val="Calibri"/>
      </rPr>
      <t xml:space="preserve"> = formulas — DO NOT ENTER ANYTHING IN THE WHITE CELLS</t>
    </r>
  </si>
  <si>
    <t>Save a backup before making major edits.</t>
  </si>
  <si>
    <t>Use scenario planning by saving copies with different input assumptions.</t>
  </si>
  <si>
    <t>ONLY ENTER DATA IN THE GREEN CELLS ON ANY WORKSHEET!</t>
  </si>
  <si>
    <t>Salary and Benefits:</t>
  </si>
  <si>
    <t>Position</t>
  </si>
  <si>
    <t>Ideal Model</t>
  </si>
  <si>
    <t>Your Program FTE*</t>
  </si>
  <si>
    <t>Annual Salary
(input your program's salaries)</t>
  </si>
  <si>
    <r>
      <t xml:space="preserve">Fringe Rate
</t>
    </r>
    <r>
      <rPr>
        <b/>
        <i/>
        <sz val="12"/>
        <color theme="1"/>
        <rFont val="Calibri"/>
        <family val="2"/>
        <scheme val="minor"/>
      </rPr>
      <t>(input yours)</t>
    </r>
  </si>
  <si>
    <t>Annual Expense</t>
  </si>
  <si>
    <t>Instructions/Comments</t>
  </si>
  <si>
    <t>Clinical Psychologist (PhD)</t>
  </si>
  <si>
    <t>Enter your Program's actual FTE by role in column D, actual average salary by role in column E, and actual fringe benfit rate in column F.
Placeholder salaries are based on the US median by title from Salaries.com</t>
  </si>
  <si>
    <r>
      <t xml:space="preserve">Prescriber </t>
    </r>
    <r>
      <rPr>
        <i/>
        <sz val="12"/>
        <color theme="1"/>
        <rFont val="Calibri"/>
        <family val="2"/>
        <scheme val="minor"/>
      </rPr>
      <t>(Ideal model uses NP)</t>
    </r>
  </si>
  <si>
    <t>LCSW</t>
  </si>
  <si>
    <t>Coordinator/Scheduler</t>
  </si>
  <si>
    <t>Other (fill in if appropriate)</t>
  </si>
  <si>
    <t>Total Salary and Benefit Expense:</t>
  </si>
  <si>
    <t>This carries over into the Profit Calculations</t>
  </si>
  <si>
    <t>*FTE means "full-time equivalent" rather than the headcount. So if a professional works 4 hours/day, they are a 0.5 FTE, not a 1.0. Full-timei is typically about 1800 hours/year</t>
  </si>
  <si>
    <t>Visit Capacity:</t>
  </si>
  <si>
    <t>The visit capacity calculations carry over into the revenue calculations</t>
  </si>
  <si>
    <t>Hours/Week</t>
  </si>
  <si>
    <t>Visits/Week</t>
  </si>
  <si>
    <r>
      <rPr>
        <sz val="12"/>
        <rFont val="Calibri"/>
        <family val="2"/>
        <scheme val="minor"/>
      </rPr>
      <t>Clinical Psych</t>
    </r>
    <r>
      <rPr>
        <sz val="12"/>
        <color theme="1"/>
        <rFont val="Calibri"/>
        <family val="2"/>
        <scheme val="minor"/>
      </rPr>
      <t xml:space="preserve"> Dx Visits/Week</t>
    </r>
  </si>
  <si>
    <t>Eight is the minimum diagnostic visits/week/clinician recommended</t>
  </si>
  <si>
    <t>Remaining Available Hours</t>
  </si>
  <si>
    <t>% Clinical Time</t>
  </si>
  <si>
    <t>Input what % of total working time is expected to be spent on clinical responsibilities</t>
  </si>
  <si>
    <t>CP Therapy Visits/Week</t>
  </si>
  <si>
    <t>This includes time for documentation and billing after each visit (visit is 45 min)</t>
  </si>
  <si>
    <t>LCSW % Clinical Time</t>
  </si>
  <si>
    <t>Available Hours</t>
  </si>
  <si>
    <t>Calculated from Program FTE above</t>
  </si>
  <si>
    <t>LCSW Therapy Visits/Week</t>
  </si>
  <si>
    <t>Proportion of individual vs. group input on Revenue calculations</t>
  </si>
  <si>
    <t>Prescriber Clinical Time</t>
  </si>
  <si>
    <t>Dx Visits/Week</t>
  </si>
  <si>
    <t>This is the minimum diagnostic visits/week recommended</t>
  </si>
  <si>
    <t>Remaining Hours</t>
  </si>
  <si>
    <t>Med Mgt Visits/Week</t>
  </si>
  <si>
    <t>This includes time for documentation and billing after each visit (visit is 20 min)</t>
  </si>
  <si>
    <t>Hide this column before it goes up as a tool!</t>
  </si>
  <si>
    <t>Ideal Model at Full Capacity</t>
  </si>
  <si>
    <t>Your Program at Full Capacity</t>
  </si>
  <si>
    <t>Medicare Rate 2026
(National rate; non-facility price)</t>
  </si>
  <si>
    <t># Weeks/Provider</t>
  </si>
  <si>
    <t>To exclude vacation, holiday, sick, and CE time; part-time staff should calculate to 50 weeks/year</t>
  </si>
  <si>
    <t>If known, replace with your local Medicare rate</t>
  </si>
  <si>
    <t>Pres-criber</t>
  </si>
  <si>
    <t>Medical Dx Visits/Year
(90792)</t>
  </si>
  <si>
    <r>
      <t xml:space="preserve">Based on Capacity assumptions (see Staffing Sheet); if full-time, multiply by the weeks/provider above.
</t>
    </r>
    <r>
      <rPr>
        <i/>
        <sz val="12"/>
        <color theme="9" tint="-0.249977111117893"/>
        <rFont val="Calibri"/>
        <family val="2"/>
        <scheme val="minor"/>
      </rPr>
      <t>If the prescriber is an MD, modify the Medicare rate to 100%</t>
    </r>
  </si>
  <si>
    <t>Med Mgt Visits/Year</t>
  </si>
  <si>
    <t>% Est Med Mgt Visit
(99213)</t>
  </si>
  <si>
    <r>
      <t xml:space="preserve">Input the expected visit mix in your program. 
The total across these codes should add to the total Med Mgt visits in your program.
</t>
    </r>
    <r>
      <rPr>
        <i/>
        <sz val="12"/>
        <color theme="9" tint="-0.249977111117893"/>
        <rFont val="Calibri"/>
        <family val="2"/>
        <scheme val="minor"/>
      </rPr>
      <t>If the prescriber is an MD, modify the Medicare rate to 100%</t>
    </r>
  </si>
  <si>
    <t>% Est MM+Tpy Visit
(90833)</t>
  </si>
  <si>
    <t>Clin Psych</t>
  </si>
  <si>
    <t>Psych Dx Visits/Year
(90791)</t>
  </si>
  <si>
    <t>Based on Capacity assumptions (see Staffing Sheet)</t>
  </si>
  <si>
    <t xml:space="preserve">Psychotherapy Visits/Year </t>
  </si>
  <si>
    <t>% Psychotherapy
(90834)</t>
  </si>
  <si>
    <t>Input the expected visit mix in your program. 
The total across these codes should add to the total Psychotherapy visits by the CP in your program.
assume group size averages 5</t>
  </si>
  <si>
    <t>% Fam Psychotherapy
(90847)</t>
  </si>
  <si>
    <t>% Group Psychotherapy
(90853)</t>
  </si>
  <si>
    <t>% Add-on Interactive Complexity (90785)</t>
  </si>
  <si>
    <t>Add on 10% of the time</t>
  </si>
  <si>
    <t>Multiply your program's percent by the total psychotherapy visits/year (row 11)</t>
  </si>
  <si>
    <t>Input the expected visit mix in your program. 
The total across these codes should add to the total Psychotherapy visits by the LCSW in your program.
assume group size averages 5</t>
  </si>
  <si>
    <t>Multiply your program's percent by the total visits/year in rows 18-19.
NB: G0539 assumes the care recipient's doctor is billing the LCSW "incident to"</t>
  </si>
  <si>
    <t>% Add-on Caregiver training
(G0539)</t>
  </si>
  <si>
    <t>PAYER MIX</t>
  </si>
  <si>
    <t>Medicare</t>
  </si>
  <si>
    <t>Medicare Advantage</t>
  </si>
  <si>
    <t>Commercial</t>
  </si>
  <si>
    <t>Medicaid</t>
  </si>
  <si>
    <t>National Median</t>
  </si>
  <si>
    <t>Your Program</t>
  </si>
  <si>
    <t>Input your program's actual payer mix.
Must add to 100%</t>
  </si>
  <si>
    <t>PAYMENT RATES</t>
  </si>
  <si>
    <t>Medicare Rate</t>
  </si>
  <si>
    <t>MA as % of Medicare</t>
  </si>
  <si>
    <t>Commercial as % of Medicare</t>
  </si>
  <si>
    <t>Medicaid as % of Medicare</t>
  </si>
  <si>
    <t>Pays 13% less than Medicare in-network, and 4% less out-of-network</t>
  </si>
  <si>
    <t>Pays 13% less than Medicare in-network, and and 43% more out-of network</t>
  </si>
  <si>
    <t>Pays 81% of Medicare rates 
(for Psychiatric care)</t>
  </si>
  <si>
    <t xml:space="preserve">
If known, put in the % of Medicare based on your contracts</t>
  </si>
  <si>
    <t>Revenue Calculations -- DO NOT INPUT!</t>
  </si>
  <si>
    <t>Wtd Avg Prices</t>
  </si>
  <si>
    <t>Med Diagnostic</t>
  </si>
  <si>
    <t>Psych Diagnostic</t>
  </si>
  <si>
    <t>Med Mgt</t>
  </si>
  <si>
    <t>Psychotherapy (CP+LCSW)</t>
  </si>
  <si>
    <t>Fam therapy (CP+LCSW)</t>
  </si>
  <si>
    <t>Group therapy (CP+LCSW)</t>
  </si>
  <si>
    <t>Add-on Rev (CP+LCSW)</t>
  </si>
  <si>
    <t>Total Rev/Year by Payer</t>
  </si>
  <si>
    <t>Total Annual Revenue</t>
  </si>
  <si>
    <t>(Comparison at 100% Medicare):</t>
  </si>
  <si>
    <t>Less: Total S&amp;B Expense</t>
  </si>
  <si>
    <t>This number is pulled from the Staffing and Capacity tab</t>
  </si>
  <si>
    <t>Less: Overhead Expense</t>
  </si>
  <si>
    <t>Input the administrative and general (aka overhead or indirect) percent used for your organization.
Alternatively in this case you can change the calculation to be 25% of revenue</t>
  </si>
  <si>
    <t>NET INCOME</t>
  </si>
  <si>
    <t>QUICK BREAK-EVEN FOR FEASIBILITY</t>
  </si>
  <si>
    <t>Total Visit Capacity</t>
  </si>
  <si>
    <t xml:space="preserve"> based on the % of clinical time input in the Staffing and Capacity seeht</t>
  </si>
  <si>
    <t xml:space="preserve"> assumes no downtime</t>
  </si>
  <si>
    <t>Wtd Avg Reimbursement /visit across all staff</t>
  </si>
  <si>
    <t>at 100% of Medicare for ease of estimate</t>
  </si>
  <si>
    <t>Fixed Costs</t>
  </si>
  <si>
    <t>based on the inputs for salary, benefits, and overhead expenses</t>
  </si>
  <si>
    <t>Break-even Visits</t>
  </si>
  <si>
    <t>Break-Even % Capacity</t>
  </si>
  <si>
    <t>IF THIS NUMBER IS &gt;100%, THE PROGRAM IS NOT FEASIBLE</t>
  </si>
  <si>
    <t>STAFFING AND CAPACITY IDEAL</t>
  </si>
  <si>
    <t>https://www.cancer.org/content/dam/cancer-org/cancer-control/en/toolkits/caregiver-clinic-toolkit.pdf</t>
  </si>
  <si>
    <t>NATIONAL PAYER MIX</t>
  </si>
  <si>
    <t>https://www.definitivehc.com/resources/healthcare-insights/breaking-down-us-hospital-payor-mixes#:~:text=Payor%20mix%20by%20total%20patient,Medicaid%3A%209.3%25</t>
  </si>
  <si>
    <t>NATIONAL PAYMENT RATES</t>
  </si>
  <si>
    <t>https://www.healthaffairs.org/doi/10.1377/hlthaff.2018.05226</t>
  </si>
  <si>
    <t>Pelech, Hayford et al 2019</t>
  </si>
  <si>
    <t>https://pmc.ncbi.nlm.nih.gov/articles/PMC10125036/</t>
  </si>
  <si>
    <t>medical</t>
  </si>
  <si>
    <t>https://www.commonwealthfund.org/blog/2022/how-differences-medicaid-medicare-and-commercial-health-insurance-payment-rates-impact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</si>
</sst>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quot;$&quot;#,##0.00"/>
    <numFmt numFmtId="167" formatCode="_(* #,##0_);_(* \(#,##0\);_(* &quot;-&quot;??_);_(@_)"/>
    <numFmt numFmtId="168" formatCode="&quot;$&quot;#,##0"/>
    <numFmt numFmtId="169" formatCode="0.0%"/>
  </numFmts>
  <fonts count="28">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i/>
      <sz val="12"/>
      <color theme="1"/>
      <name val="Calibri"/>
      <family val="2"/>
      <scheme val="minor"/>
    </font>
    <font>
      <u/>
      <sz val="12"/>
      <color theme="10"/>
      <name val="Calibri"/>
      <family val="2"/>
      <scheme val="minor"/>
    </font>
    <font>
      <sz val="10"/>
      <color theme="1"/>
      <name val="Calibri"/>
      <family val="2"/>
      <scheme val="minor"/>
    </font>
    <font>
      <i/>
      <sz val="12"/>
      <color rgb="FFFF0000"/>
      <name val="Calibri"/>
      <family val="2"/>
      <scheme val="minor"/>
    </font>
    <font>
      <sz val="12"/>
      <color rgb="FFFF0000"/>
      <name val="Calibri"/>
      <family val="2"/>
      <scheme val="minor"/>
    </font>
    <font>
      <b/>
      <u/>
      <sz val="12"/>
      <color theme="1"/>
      <name val="Calibri"/>
      <family val="2"/>
      <scheme val="minor"/>
    </font>
    <font>
      <sz val="12"/>
      <name val="Calibri"/>
      <family val="2"/>
      <scheme val="minor"/>
    </font>
    <font>
      <i/>
      <sz val="12"/>
      <color theme="9" tint="-0.249977111117893"/>
      <name val="Calibri"/>
      <family val="2"/>
      <scheme val="minor"/>
    </font>
    <font>
      <sz val="9"/>
      <color theme="1"/>
      <name val="Calibri"/>
      <family val="2"/>
      <scheme val="minor"/>
    </font>
    <font>
      <b/>
      <sz val="12"/>
      <color rgb="FFFF0000"/>
      <name val="Calibri"/>
      <family val="2"/>
      <scheme val="minor"/>
    </font>
    <font>
      <b/>
      <i/>
      <sz val="12"/>
      <color theme="1"/>
      <name val="Calibri"/>
      <family val="2"/>
      <scheme val="minor"/>
    </font>
    <font>
      <sz val="11"/>
      <color rgb="FFC00000"/>
      <name val="Calibri"/>
      <family val="2"/>
      <scheme val="minor"/>
    </font>
    <font>
      <i/>
      <sz val="12"/>
      <name val="Calibri"/>
      <family val="2"/>
      <scheme val="minor"/>
    </font>
    <font>
      <sz val="11"/>
      <color theme="9" tint="-0.499984740745262"/>
      <name val="Calibri"/>
      <family val="2"/>
      <scheme val="minor"/>
    </font>
    <font>
      <sz val="12"/>
      <color rgb="FF000000"/>
      <name val="Calibri"/>
      <family val="2"/>
      <scheme val="minor"/>
    </font>
    <font>
      <i/>
      <sz val="12"/>
      <color rgb="FF000000"/>
      <name val="Calibri"/>
      <family val="2"/>
      <scheme val="minor"/>
    </font>
    <font>
      <b/>
      <sz val="12"/>
      <color rgb="FF00A1E1"/>
      <name val="Calibri"/>
      <family val="2"/>
      <scheme val="minor"/>
    </font>
    <font>
      <b/>
      <i/>
      <sz val="12"/>
      <color rgb="FF00A1E1"/>
      <name val="Calibri"/>
      <family val="2"/>
      <scheme val="minor"/>
    </font>
    <font>
      <b/>
      <sz val="18"/>
      <color rgb="FF00A1E1"/>
      <name val="Calibri"/>
      <family val="2"/>
      <scheme val="minor"/>
    </font>
    <font>
      <b/>
      <sz val="13.5"/>
      <color rgb="FF00A1E1"/>
      <name val="Calibri"/>
      <family val="2"/>
      <scheme val="minor"/>
    </font>
    <font>
      <b/>
      <sz val="12"/>
      <color rgb="FF000000"/>
      <name val="Calibri"/>
    </font>
    <font>
      <sz val="12"/>
      <color rgb="FF000000"/>
      <name val="Calibri"/>
    </font>
    <font>
      <i/>
      <sz val="12"/>
      <color rgb="FF000000"/>
      <name val="Calibri"/>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FFFF00"/>
        <bgColor indexed="64"/>
      </patternFill>
    </fill>
  </fills>
  <borders count="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21">
    <xf numFmtId="0" fontId="0" fillId="0" borderId="0" xfId="0"/>
    <xf numFmtId="0" fontId="4" fillId="0" borderId="0" xfId="0" applyFont="1"/>
    <xf numFmtId="0" fontId="5" fillId="0" borderId="0" xfId="0" applyFont="1" applyAlignment="1">
      <alignment horizontal="center" vertical="center" wrapText="1"/>
    </xf>
    <xf numFmtId="0" fontId="5" fillId="5"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9" fontId="0" fillId="0" borderId="0" xfId="0" applyNumberFormat="1" applyAlignment="1">
      <alignment horizontal="center"/>
    </xf>
    <xf numFmtId="0" fontId="0" fillId="5" borderId="0" xfId="0" applyFill="1" applyAlignment="1">
      <alignment horizontal="center" vertical="center" wrapText="1"/>
    </xf>
    <xf numFmtId="0" fontId="3" fillId="0" borderId="0" xfId="0" applyFont="1"/>
    <xf numFmtId="0" fontId="3" fillId="0" borderId="0" xfId="0" applyFont="1" applyAlignment="1">
      <alignment horizontal="center"/>
    </xf>
    <xf numFmtId="0" fontId="0" fillId="0" borderId="0" xfId="0" applyAlignment="1">
      <alignment horizontal="center"/>
    </xf>
    <xf numFmtId="166" fontId="0" fillId="0" borderId="0" xfId="0" applyNumberFormat="1" applyAlignment="1">
      <alignment horizontal="center" vertical="center" wrapText="1"/>
    </xf>
    <xf numFmtId="0" fontId="0" fillId="3" borderId="1" xfId="0" applyFill="1" applyBorder="1" applyAlignment="1">
      <alignment horizontal="left" vertical="center" indent="1"/>
    </xf>
    <xf numFmtId="164" fontId="0" fillId="3" borderId="2" xfId="1" applyNumberFormat="1" applyFont="1" applyFill="1" applyBorder="1" applyAlignment="1">
      <alignment vertical="center" wrapText="1"/>
    </xf>
    <xf numFmtId="9" fontId="0" fillId="3" borderId="2" xfId="2" applyFont="1" applyFill="1" applyBorder="1" applyAlignment="1">
      <alignment vertical="center"/>
    </xf>
    <xf numFmtId="9" fontId="0" fillId="2" borderId="2" xfId="2" applyFont="1" applyFill="1" applyBorder="1" applyAlignment="1">
      <alignment vertical="center"/>
    </xf>
    <xf numFmtId="164" fontId="0" fillId="0" borderId="2" xfId="0" applyNumberFormat="1" applyBorder="1" applyAlignment="1">
      <alignment horizontal="right" vertical="center"/>
    </xf>
    <xf numFmtId="0" fontId="0" fillId="3" borderId="3" xfId="0" applyFill="1" applyBorder="1" applyAlignment="1">
      <alignment horizontal="left" vertical="center" indent="1"/>
    </xf>
    <xf numFmtId="164" fontId="0" fillId="3" borderId="4" xfId="1" applyNumberFormat="1" applyFont="1" applyFill="1" applyBorder="1" applyAlignment="1">
      <alignment vertical="center" wrapText="1"/>
    </xf>
    <xf numFmtId="9" fontId="0" fillId="3" borderId="4" xfId="2" applyFont="1" applyFill="1" applyBorder="1" applyAlignment="1">
      <alignment vertical="center"/>
    </xf>
    <xf numFmtId="9" fontId="0" fillId="2" borderId="4" xfId="2" applyFont="1" applyFill="1" applyBorder="1" applyAlignment="1">
      <alignment vertical="center"/>
    </xf>
    <xf numFmtId="0" fontId="3" fillId="5" borderId="0" xfId="0" applyFont="1" applyFill="1" applyAlignment="1">
      <alignment horizontal="center"/>
    </xf>
    <xf numFmtId="9" fontId="0" fillId="5" borderId="0" xfId="0" applyNumberFormat="1" applyFill="1" applyAlignment="1">
      <alignment horizontal="center"/>
    </xf>
    <xf numFmtId="0" fontId="0" fillId="5" borderId="0" xfId="0" applyFill="1"/>
    <xf numFmtId="0" fontId="0" fillId="5" borderId="0" xfId="0" applyFill="1" applyAlignment="1">
      <alignment horizontal="center"/>
    </xf>
    <xf numFmtId="166" fontId="0" fillId="5" borderId="0" xfId="0" applyNumberFormat="1" applyFill="1" applyAlignment="1">
      <alignment horizontal="center"/>
    </xf>
    <xf numFmtId="165" fontId="0" fillId="3" borderId="5" xfId="0" applyNumberFormat="1" applyFill="1" applyBorder="1" applyAlignment="1">
      <alignment horizontal="center" vertical="center"/>
    </xf>
    <xf numFmtId="165" fontId="0" fillId="3" borderId="6" xfId="0" applyNumberFormat="1" applyFill="1" applyBorder="1" applyAlignment="1">
      <alignment horizontal="center" vertical="center"/>
    </xf>
    <xf numFmtId="165" fontId="0" fillId="0" borderId="5" xfId="0" applyNumberFormat="1" applyBorder="1" applyAlignment="1">
      <alignment horizontal="center" vertical="center"/>
    </xf>
    <xf numFmtId="165" fontId="0" fillId="0" borderId="6" xfId="0" applyNumberFormat="1" applyBorder="1" applyAlignment="1">
      <alignment horizontal="center" vertical="center"/>
    </xf>
    <xf numFmtId="164" fontId="3" fillId="0" borderId="0" xfId="0" applyNumberFormat="1" applyFont="1"/>
    <xf numFmtId="9" fontId="0" fillId="4" borderId="0" xfId="0" applyNumberFormat="1" applyFill="1" applyAlignment="1">
      <alignment horizontal="center"/>
    </xf>
    <xf numFmtId="0" fontId="5" fillId="0" borderId="0" xfId="0" applyFont="1" applyAlignment="1">
      <alignment horizontal="left"/>
    </xf>
    <xf numFmtId="0" fontId="5" fillId="0" borderId="0" xfId="0" applyFont="1"/>
    <xf numFmtId="0" fontId="10" fillId="0" borderId="0" xfId="0" applyFont="1"/>
    <xf numFmtId="0" fontId="9" fillId="0" borderId="0" xfId="0" applyFont="1"/>
    <xf numFmtId="0" fontId="0" fillId="0" borderId="0" xfId="0" applyAlignment="1">
      <alignment horizontal="right"/>
    </xf>
    <xf numFmtId="0" fontId="0" fillId="0" borderId="7" xfId="0" applyBorder="1" applyAlignment="1">
      <alignment horizontal="right"/>
    </xf>
    <xf numFmtId="9" fontId="0" fillId="4" borderId="0" xfId="0" applyNumberFormat="1" applyFill="1"/>
    <xf numFmtId="9" fontId="11" fillId="4" borderId="0" xfId="0" applyNumberFormat="1" applyFont="1" applyFill="1"/>
    <xf numFmtId="0" fontId="3" fillId="0" borderId="0" xfId="0" applyFont="1" applyAlignment="1">
      <alignment horizontal="right"/>
    </xf>
    <xf numFmtId="0" fontId="8" fillId="0" borderId="0" xfId="0" applyFont="1" applyAlignment="1">
      <alignment vertical="center" wrapText="1"/>
    </xf>
    <xf numFmtId="0" fontId="5" fillId="0" borderId="1" xfId="0" applyFont="1" applyBorder="1" applyAlignment="1">
      <alignment horizontal="left" vertical="center" inden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right" vertical="center" wrapText="1"/>
    </xf>
    <xf numFmtId="0" fontId="5" fillId="2" borderId="2" xfId="0" applyFont="1" applyFill="1" applyBorder="1" applyAlignment="1">
      <alignment horizontal="righ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164" fontId="3" fillId="0" borderId="8" xfId="0" applyNumberFormat="1" applyFont="1" applyBorder="1"/>
    <xf numFmtId="0" fontId="13" fillId="0" borderId="0" xfId="0" quotePrefix="1" applyFont="1" applyAlignment="1">
      <alignment horizontal="left" vertical="center" indent="1"/>
    </xf>
    <xf numFmtId="167" fontId="0" fillId="0" borderId="0" xfId="3" applyNumberFormat="1" applyFont="1"/>
    <xf numFmtId="167" fontId="6" fillId="0" borderId="0" xfId="3" applyNumberFormat="1" applyFont="1"/>
    <xf numFmtId="167" fontId="5" fillId="0" borderId="0" xfId="3" applyNumberFormat="1" applyFont="1" applyFill="1" applyBorder="1" applyAlignment="1">
      <alignment horizontal="center" vertical="center" wrapText="1"/>
    </xf>
    <xf numFmtId="0" fontId="7" fillId="0" borderId="0" xfId="0" applyFont="1" applyAlignment="1">
      <alignment horizontal="center" wrapText="1"/>
    </xf>
    <xf numFmtId="0" fontId="14" fillId="0" borderId="0" xfId="0" applyFont="1" applyAlignment="1">
      <alignment wrapText="1"/>
    </xf>
    <xf numFmtId="9" fontId="9" fillId="0" borderId="0" xfId="2" applyFont="1"/>
    <xf numFmtId="0" fontId="5" fillId="0" borderId="0" xfId="0" applyFont="1" applyAlignment="1">
      <alignment horizontal="center" wrapText="1"/>
    </xf>
    <xf numFmtId="167" fontId="16" fillId="0" borderId="0" xfId="3" applyNumberFormat="1" applyFont="1" applyAlignment="1">
      <alignment horizontal="left" vertical="center" wrapText="1"/>
    </xf>
    <xf numFmtId="0" fontId="18" fillId="5" borderId="0" xfId="0" applyFont="1" applyFill="1"/>
    <xf numFmtId="0" fontId="0" fillId="4" borderId="0" xfId="0" applyFill="1" applyAlignment="1">
      <alignment horizontal="center" vertical="center" wrapText="1"/>
    </xf>
    <xf numFmtId="1" fontId="0" fillId="0" borderId="0" xfId="0" applyNumberFormat="1" applyAlignment="1">
      <alignment horizontal="center" vertical="center" wrapText="1"/>
    </xf>
    <xf numFmtId="1" fontId="11" fillId="0" borderId="0" xfId="0" applyNumberFormat="1" applyFont="1" applyAlignment="1">
      <alignment horizontal="center"/>
    </xf>
    <xf numFmtId="9" fontId="11" fillId="4" borderId="0" xfId="2" applyFont="1" applyFill="1" applyAlignment="1">
      <alignment horizontal="center"/>
    </xf>
    <xf numFmtId="0" fontId="2" fillId="0" borderId="0" xfId="3" applyNumberFormat="1" applyFont="1" applyFill="1" applyAlignment="1">
      <alignment horizontal="center" vertical="center" wrapText="1"/>
    </xf>
    <xf numFmtId="1" fontId="11" fillId="0" borderId="0" xfId="0" applyNumberFormat="1" applyFont="1" applyAlignment="1">
      <alignment horizontal="center" vertical="center" wrapText="1"/>
    </xf>
    <xf numFmtId="9" fontId="11" fillId="4" borderId="0" xfId="2" applyFont="1" applyFill="1" applyAlignment="1">
      <alignment horizontal="center" vertical="center" wrapText="1"/>
    </xf>
    <xf numFmtId="9" fontId="2" fillId="4" borderId="0" xfId="2" applyFont="1" applyFill="1" applyAlignment="1">
      <alignment horizontal="center" vertical="center" wrapText="1"/>
    </xf>
    <xf numFmtId="9" fontId="17" fillId="0" borderId="0" xfId="0" applyNumberFormat="1" applyFont="1" applyAlignment="1">
      <alignment horizontal="center"/>
    </xf>
    <xf numFmtId="9" fontId="17" fillId="0" borderId="0" xfId="0" applyNumberFormat="1" applyFont="1" applyAlignment="1">
      <alignment horizontal="center" vertical="center" wrapText="1"/>
    </xf>
    <xf numFmtId="9" fontId="5" fillId="0" borderId="0" xfId="0" applyNumberFormat="1" applyFont="1" applyAlignment="1">
      <alignment horizontal="center"/>
    </xf>
    <xf numFmtId="0" fontId="3" fillId="0" borderId="0" xfId="0" applyFont="1" applyAlignment="1">
      <alignment horizontal="center" wrapText="1"/>
    </xf>
    <xf numFmtId="166" fontId="11" fillId="3" borderId="0" xfId="0" applyNumberFormat="1" applyFont="1" applyFill="1" applyAlignment="1">
      <alignment horizontal="center" vertical="center" wrapText="1"/>
    </xf>
    <xf numFmtId="8" fontId="0" fillId="3" borderId="0" xfId="0" applyNumberFormat="1" applyFill="1" applyAlignment="1">
      <alignment horizontal="center"/>
    </xf>
    <xf numFmtId="166" fontId="0" fillId="3" borderId="0" xfId="0" applyNumberFormat="1" applyFill="1" applyAlignment="1">
      <alignment horizontal="center" vertical="center" wrapText="1"/>
    </xf>
    <xf numFmtId="164" fontId="15" fillId="0" borderId="2" xfId="1" applyNumberFormat="1" applyFont="1" applyBorder="1" applyAlignment="1">
      <alignment horizontal="right" vertical="center" wrapText="1"/>
    </xf>
    <xf numFmtId="5" fontId="0" fillId="0" borderId="0" xfId="1" applyNumberFormat="1" applyFont="1" applyAlignment="1">
      <alignment horizontal="left"/>
    </xf>
    <xf numFmtId="168" fontId="0" fillId="0" borderId="0" xfId="1" applyNumberFormat="1" applyFont="1" applyAlignment="1">
      <alignment horizontal="center"/>
    </xf>
    <xf numFmtId="168" fontId="0" fillId="0" borderId="7" xfId="1" applyNumberFormat="1" applyFont="1" applyBorder="1" applyAlignment="1">
      <alignment horizontal="center"/>
    </xf>
    <xf numFmtId="168" fontId="0" fillId="0" borderId="0" xfId="0" applyNumberFormat="1" applyAlignment="1">
      <alignment horizontal="center"/>
    </xf>
    <xf numFmtId="5" fontId="3" fillId="0" borderId="0" xfId="0" applyNumberFormat="1" applyFont="1" applyAlignment="1">
      <alignment horizontal="center"/>
    </xf>
    <xf numFmtId="0" fontId="0" fillId="6" borderId="0" xfId="0" applyFill="1"/>
    <xf numFmtId="0" fontId="0" fillId="6" borderId="0" xfId="0" applyFill="1" applyAlignment="1">
      <alignment horizontal="center"/>
    </xf>
    <xf numFmtId="0" fontId="19" fillId="0" borderId="0" xfId="0" applyFont="1" applyAlignment="1">
      <alignment horizontal="center" vertical="center" wrapText="1"/>
    </xf>
    <xf numFmtId="9" fontId="20" fillId="0" borderId="0" xfId="0" applyNumberFormat="1" applyFont="1" applyAlignment="1">
      <alignment horizontal="center" vertical="center" wrapText="1"/>
    </xf>
    <xf numFmtId="5" fontId="0" fillId="0" borderId="0" xfId="0" applyNumberFormat="1"/>
    <xf numFmtId="168" fontId="0" fillId="0" borderId="0" xfId="0" applyNumberFormat="1"/>
    <xf numFmtId="167" fontId="0" fillId="0" borderId="0" xfId="0" applyNumberFormat="1"/>
    <xf numFmtId="0" fontId="1" fillId="4" borderId="0" xfId="0" applyFont="1" applyFill="1"/>
    <xf numFmtId="0" fontId="1" fillId="0" borderId="0" xfId="0" applyFont="1" applyAlignment="1">
      <alignment horizontal="left" vertical="center"/>
    </xf>
    <xf numFmtId="0" fontId="1" fillId="0" borderId="0" xfId="0" applyFont="1"/>
    <xf numFmtId="167" fontId="1" fillId="0" borderId="0" xfId="3" applyNumberFormat="1" applyFont="1" applyAlignment="1">
      <alignment horizontal="left" vertical="center"/>
    </xf>
    <xf numFmtId="0" fontId="1" fillId="5" borderId="0" xfId="0" applyFont="1" applyFill="1"/>
    <xf numFmtId="0" fontId="1" fillId="0" borderId="0" xfId="0" applyFont="1" applyAlignment="1">
      <alignment wrapText="1"/>
    </xf>
    <xf numFmtId="167" fontId="1" fillId="0" borderId="0" xfId="0" applyNumberFormat="1" applyFont="1" applyAlignment="1">
      <alignment horizontal="left" vertical="center"/>
    </xf>
    <xf numFmtId="1" fontId="1" fillId="0" borderId="0" xfId="0" applyNumberFormat="1" applyFont="1"/>
    <xf numFmtId="165" fontId="0" fillId="0" borderId="0" xfId="0" applyNumberFormat="1" applyAlignment="1">
      <alignment wrapText="1"/>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horizontal="left" vertical="center" indent="2"/>
    </xf>
    <xf numFmtId="0" fontId="21" fillId="0" borderId="0" xfId="0" applyFont="1"/>
    <xf numFmtId="0" fontId="22" fillId="0" borderId="0" xfId="0"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horizontal="left" vertical="center" indent="1"/>
    </xf>
    <xf numFmtId="0" fontId="27" fillId="0" borderId="0" xfId="0" applyFont="1" applyAlignment="1">
      <alignment horizontal="left" vertical="center" indent="1"/>
    </xf>
    <xf numFmtId="169" fontId="3" fillId="7" borderId="0" xfId="0" applyNumberFormat="1" applyFont="1" applyFill="1"/>
    <xf numFmtId="0" fontId="1" fillId="6" borderId="0" xfId="0" applyFont="1" applyFill="1"/>
    <xf numFmtId="0" fontId="5" fillId="4"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5" fillId="0" borderId="2" xfId="0" applyFont="1" applyBorder="1" applyAlignment="1">
      <alignment horizontal="center" wrapText="1"/>
    </xf>
    <xf numFmtId="0" fontId="0" fillId="0" borderId="0" xfId="0" applyAlignment="1">
      <alignment horizontal="center"/>
    </xf>
    <xf numFmtId="0" fontId="20" fillId="0" borderId="0" xfId="0" applyFont="1" applyAlignment="1">
      <alignment horizontal="center" wrapText="1"/>
    </xf>
    <xf numFmtId="0" fontId="0" fillId="0" borderId="0" xfId="0" applyAlignment="1">
      <alignment horizontal="center" vertical="center" textRotation="90" wrapText="1"/>
    </xf>
    <xf numFmtId="0" fontId="15" fillId="0" borderId="0" xfId="0" applyFont="1" applyAlignment="1">
      <alignment horizontal="center" vertical="center" wrapText="1"/>
    </xf>
    <xf numFmtId="0" fontId="1" fillId="0" borderId="0" xfId="0" applyFont="1" applyAlignment="1">
      <alignment horizontal="center" vertical="center" textRotation="90" wrapText="1"/>
    </xf>
    <xf numFmtId="0" fontId="1" fillId="0" borderId="0" xfId="0" applyFont="1" applyAlignment="1">
      <alignment horizontal="center" vertical="center" textRotation="90"/>
    </xf>
    <xf numFmtId="0" fontId="3" fillId="0" borderId="0" xfId="0" applyFont="1" applyAlignment="1">
      <alignment horizontal="left"/>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A1E1"/>
      <color rgb="FFD1E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9C99-F7A7-4EA4-9FDC-44C35F9F1F00}">
  <dimension ref="A1:A39"/>
  <sheetViews>
    <sheetView view="pageLayout" topLeftCell="A5" zoomScale="70" zoomScaleNormal="100" zoomScalePageLayoutView="70" workbookViewId="0">
      <selection activeCell="A26" sqref="A26"/>
    </sheetView>
  </sheetViews>
  <sheetFormatPr defaultRowHeight="15.6"/>
  <sheetData>
    <row r="1" spans="1:1" ht="23.45">
      <c r="A1" s="103" t="s">
        <v>0</v>
      </c>
    </row>
    <row r="3" spans="1:1">
      <c r="A3" t="s">
        <v>1</v>
      </c>
    </row>
    <row r="5" spans="1:1" ht="18">
      <c r="A5" s="104" t="s">
        <v>2</v>
      </c>
    </row>
    <row r="6" spans="1:1">
      <c r="A6" s="98"/>
    </row>
    <row r="7" spans="1:1">
      <c r="A7" s="99" t="s">
        <v>3</v>
      </c>
    </row>
    <row r="8" spans="1:1">
      <c r="A8" s="100" t="s">
        <v>4</v>
      </c>
    </row>
    <row r="9" spans="1:1" ht="15.75">
      <c r="A9" s="100" t="s">
        <v>5</v>
      </c>
    </row>
    <row r="10" spans="1:1">
      <c r="A10" s="100" t="s">
        <v>6</v>
      </c>
    </row>
    <row r="11" spans="1:1" ht="15.75">
      <c r="A11" s="100" t="s">
        <v>7</v>
      </c>
    </row>
    <row r="12" spans="1:1">
      <c r="A12" s="98"/>
    </row>
    <row r="13" spans="1:1">
      <c r="A13" s="99" t="s">
        <v>8</v>
      </c>
    </row>
    <row r="14" spans="1:1" ht="15.75">
      <c r="A14" s="105" t="s">
        <v>9</v>
      </c>
    </row>
    <row r="15" spans="1:1" s="34" customFormat="1" ht="15.75">
      <c r="A15" s="106" t="s">
        <v>10</v>
      </c>
    </row>
    <row r="16" spans="1:1" ht="15.75">
      <c r="A16" s="105" t="s">
        <v>11</v>
      </c>
    </row>
    <row r="17" spans="1:1">
      <c r="A17" s="100" t="s">
        <v>12</v>
      </c>
    </row>
    <row r="18" spans="1:1">
      <c r="A18" s="100" t="s">
        <v>13</v>
      </c>
    </row>
    <row r="19" spans="1:1">
      <c r="A19" s="98"/>
    </row>
    <row r="20" spans="1:1">
      <c r="A20" s="99" t="s">
        <v>14</v>
      </c>
    </row>
    <row r="21" spans="1:1">
      <c r="A21" s="100" t="s">
        <v>15</v>
      </c>
    </row>
    <row r="22" spans="1:1">
      <c r="A22" s="100" t="s">
        <v>16</v>
      </c>
    </row>
    <row r="23" spans="1:1">
      <c r="A23" s="100"/>
    </row>
    <row r="24" spans="1:1" ht="15.75">
      <c r="A24" s="105" t="s">
        <v>17</v>
      </c>
    </row>
    <row r="25" spans="1:1" ht="15.75">
      <c r="A25" s="105" t="s">
        <v>18</v>
      </c>
    </row>
    <row r="26" spans="1:1">
      <c r="A26" s="98" t="s">
        <v>19</v>
      </c>
    </row>
    <row r="27" spans="1:1">
      <c r="A27" s="98" t="s">
        <v>20</v>
      </c>
    </row>
    <row r="28" spans="1:1" ht="15.75"/>
    <row r="29" spans="1:1" ht="15.75"/>
    <row r="30" spans="1:1" ht="15.75"/>
    <row r="31" spans="1:1" ht="15.75"/>
    <row r="32" spans="1:1" ht="15.75"/>
    <row r="34" ht="15.75"/>
    <row r="35" ht="15.75"/>
    <row r="36" ht="15.75"/>
    <row r="37" ht="15.75"/>
    <row r="38" ht="15.75"/>
    <row r="39" ht="15.75"/>
  </sheetData>
  <pageMargins left="0.7" right="0.7" top="0.75" bottom="0.4" header="0.3" footer="0.2"/>
  <pageSetup scale="63" orientation="portrait" r:id="rId1"/>
  <headerFooter>
    <oddHeader>&amp;L&amp;G&amp;C&amp;"Arial,Bold"&amp;14Caregiver Support Center Profit &amp; Loss Tool</oddHeader>
    <oddFooter>&amp;L&amp;"Arial,Regular"&amp;11Reviewed Fall 2025&amp;R&amp;"Arial,Bold"&amp;K00A1E1capc.org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view="pageLayout" topLeftCell="A15" zoomScaleNormal="100" workbookViewId="0">
      <selection activeCell="C22" sqref="C22"/>
    </sheetView>
  </sheetViews>
  <sheetFormatPr defaultRowHeight="15.6"/>
  <cols>
    <col min="1" max="1" width="2.125" customWidth="1"/>
    <col min="2" max="2" width="34.5" customWidth="1"/>
    <col min="3" max="3" width="15.625" customWidth="1"/>
    <col min="4" max="4" width="14.125" style="11" customWidth="1"/>
    <col min="5" max="5" width="18.25" customWidth="1"/>
    <col min="6" max="6" width="13.375" customWidth="1"/>
    <col min="7" max="7" width="3" customWidth="1"/>
    <col min="8" max="8" width="13.125" customWidth="1"/>
    <col min="9" max="9" width="31.25" customWidth="1"/>
    <col min="10" max="10" width="1.75" customWidth="1"/>
    <col min="11" max="11" width="3" customWidth="1"/>
    <col min="12" max="12" width="45.5" style="5" customWidth="1"/>
  </cols>
  <sheetData>
    <row r="1" spans="1:12" ht="33.6" customHeight="1">
      <c r="A1" s="82"/>
      <c r="B1" s="109" t="s">
        <v>21</v>
      </c>
      <c r="C1" s="109"/>
      <c r="D1" s="109"/>
      <c r="E1" s="109"/>
      <c r="F1" s="109"/>
      <c r="G1" s="109"/>
      <c r="H1" s="109"/>
      <c r="I1" s="109"/>
      <c r="J1" s="82"/>
    </row>
    <row r="2" spans="1:12">
      <c r="A2" s="82"/>
      <c r="B2" s="9" t="s">
        <v>22</v>
      </c>
      <c r="J2" s="82"/>
    </row>
    <row r="3" spans="1:12" ht="46.9">
      <c r="A3" s="82"/>
      <c r="B3" s="43" t="s">
        <v>23</v>
      </c>
      <c r="C3" s="44" t="s">
        <v>24</v>
      </c>
      <c r="D3" s="45" t="s">
        <v>25</v>
      </c>
      <c r="E3" s="76" t="s">
        <v>26</v>
      </c>
      <c r="F3" s="46" t="s">
        <v>27</v>
      </c>
      <c r="G3" s="47"/>
      <c r="H3" s="46" t="s">
        <v>28</v>
      </c>
      <c r="I3" s="48" t="s">
        <v>29</v>
      </c>
      <c r="J3" s="82"/>
      <c r="L3" s="97"/>
    </row>
    <row r="4" spans="1:12">
      <c r="A4" s="82"/>
      <c r="B4" s="13" t="s">
        <v>30</v>
      </c>
      <c r="C4" s="29">
        <v>1</v>
      </c>
      <c r="D4" s="27">
        <f>C4</f>
        <v>1</v>
      </c>
      <c r="E4" s="14">
        <v>120000</v>
      </c>
      <c r="F4" s="15">
        <v>0.31</v>
      </c>
      <c r="G4" s="16"/>
      <c r="H4" s="17">
        <f>D4*E4*(1+F4)</f>
        <v>157200</v>
      </c>
      <c r="I4" s="113" t="s">
        <v>31</v>
      </c>
      <c r="J4" s="82"/>
      <c r="L4" s="56"/>
    </row>
    <row r="5" spans="1:12">
      <c r="A5" s="82"/>
      <c r="B5" s="13" t="s">
        <v>32</v>
      </c>
      <c r="C5" s="29">
        <v>0.5</v>
      </c>
      <c r="D5" s="27">
        <f>C5</f>
        <v>0.5</v>
      </c>
      <c r="E5" s="14">
        <v>145000</v>
      </c>
      <c r="F5" s="15">
        <v>0.31</v>
      </c>
      <c r="G5" s="16"/>
      <c r="H5" s="17">
        <f t="shared" ref="H5:H10" si="0">D5*E5*(1+F5)</f>
        <v>94975</v>
      </c>
      <c r="I5" s="113"/>
      <c r="J5" s="82"/>
    </row>
    <row r="6" spans="1:12">
      <c r="A6" s="82"/>
      <c r="B6" s="13" t="s">
        <v>33</v>
      </c>
      <c r="C6" s="29">
        <v>1</v>
      </c>
      <c r="D6" s="27">
        <f>C6</f>
        <v>1</v>
      </c>
      <c r="E6" s="14">
        <v>80000</v>
      </c>
      <c r="F6" s="15">
        <v>0.31</v>
      </c>
      <c r="G6" s="16"/>
      <c r="H6" s="17">
        <f t="shared" si="0"/>
        <v>104800</v>
      </c>
      <c r="I6" s="113"/>
      <c r="J6" s="82"/>
    </row>
    <row r="7" spans="1:12">
      <c r="A7" s="82"/>
      <c r="B7" s="13" t="s">
        <v>34</v>
      </c>
      <c r="C7" s="29">
        <v>0.5</v>
      </c>
      <c r="D7" s="27">
        <v>0.5</v>
      </c>
      <c r="E7" s="14">
        <v>50000</v>
      </c>
      <c r="F7" s="15">
        <v>0.31</v>
      </c>
      <c r="G7" s="16"/>
      <c r="H7" s="17">
        <f t="shared" si="0"/>
        <v>32750</v>
      </c>
      <c r="I7" s="113"/>
      <c r="J7" s="82"/>
    </row>
    <row r="8" spans="1:12">
      <c r="A8" s="82"/>
      <c r="B8" s="13" t="s">
        <v>35</v>
      </c>
      <c r="C8" s="29">
        <v>0</v>
      </c>
      <c r="D8" s="27"/>
      <c r="E8" s="14"/>
      <c r="F8" s="15"/>
      <c r="G8" s="16"/>
      <c r="H8" s="17">
        <f t="shared" si="0"/>
        <v>0</v>
      </c>
      <c r="I8" s="113"/>
      <c r="J8" s="82"/>
    </row>
    <row r="9" spans="1:12">
      <c r="A9" s="82"/>
      <c r="B9" s="13" t="s">
        <v>35</v>
      </c>
      <c r="C9" s="29">
        <v>0</v>
      </c>
      <c r="D9" s="27"/>
      <c r="E9" s="14"/>
      <c r="F9" s="15"/>
      <c r="G9" s="16"/>
      <c r="H9" s="17">
        <f t="shared" si="0"/>
        <v>0</v>
      </c>
      <c r="I9" s="113"/>
      <c r="J9" s="82"/>
    </row>
    <row r="10" spans="1:12" ht="16.149999999999999" thickBot="1">
      <c r="A10" s="82"/>
      <c r="B10" s="18" t="s">
        <v>35</v>
      </c>
      <c r="C10" s="30">
        <v>0</v>
      </c>
      <c r="D10" s="28"/>
      <c r="E10" s="19"/>
      <c r="F10" s="20"/>
      <c r="G10" s="21"/>
      <c r="H10" s="17">
        <f t="shared" si="0"/>
        <v>0</v>
      </c>
      <c r="I10" s="113"/>
      <c r="J10" s="82"/>
    </row>
    <row r="11" spans="1:12" ht="31.9" thickBot="1">
      <c r="A11" s="82"/>
      <c r="F11" s="37" t="s">
        <v>36</v>
      </c>
      <c r="H11" s="50">
        <f>SUM(H4:H10)</f>
        <v>389725</v>
      </c>
      <c r="I11" s="49" t="s">
        <v>37</v>
      </c>
      <c r="J11" s="82"/>
    </row>
    <row r="12" spans="1:12">
      <c r="A12" s="82"/>
      <c r="B12" s="51" t="s">
        <v>38</v>
      </c>
      <c r="H12" s="31"/>
      <c r="J12" s="82"/>
    </row>
    <row r="13" spans="1:12" ht="9" customHeight="1">
      <c r="A13" s="82"/>
      <c r="B13" s="82"/>
      <c r="C13" s="82"/>
      <c r="D13" s="83"/>
      <c r="E13" s="82"/>
      <c r="F13" s="82"/>
      <c r="G13" s="82"/>
      <c r="H13" s="82"/>
      <c r="I13" s="82"/>
      <c r="J13" s="82"/>
    </row>
    <row r="14" spans="1:12" ht="59.45" customHeight="1">
      <c r="A14" s="82"/>
      <c r="B14" s="9" t="s">
        <v>39</v>
      </c>
      <c r="H14" s="110" t="s">
        <v>40</v>
      </c>
      <c r="I14" s="110"/>
      <c r="J14" s="82"/>
    </row>
    <row r="15" spans="1:12">
      <c r="A15" s="82"/>
      <c r="B15" s="35"/>
      <c r="C15" s="38" t="s">
        <v>41</v>
      </c>
      <c r="D15" s="38" t="s">
        <v>42</v>
      </c>
      <c r="H15" s="112"/>
      <c r="I15" s="112"/>
      <c r="J15" s="82"/>
    </row>
    <row r="16" spans="1:12" ht="34.9" customHeight="1">
      <c r="A16" s="82"/>
      <c r="B16" t="s">
        <v>43</v>
      </c>
      <c r="D16" s="41">
        <v>8</v>
      </c>
      <c r="H16" s="110" t="s">
        <v>44</v>
      </c>
      <c r="I16" s="110"/>
      <c r="J16" s="82"/>
      <c r="L16" s="56"/>
    </row>
    <row r="17" spans="1:12" ht="25.15" customHeight="1">
      <c r="A17" s="82"/>
      <c r="B17" t="s">
        <v>45</v>
      </c>
      <c r="C17">
        <f>D4*37.5-D16</f>
        <v>29.5</v>
      </c>
      <c r="D17" s="37"/>
      <c r="H17" s="114"/>
      <c r="I17" s="114"/>
      <c r="J17" s="82"/>
    </row>
    <row r="18" spans="1:12" ht="33" customHeight="1">
      <c r="A18" s="82"/>
      <c r="B18" t="s">
        <v>46</v>
      </c>
      <c r="C18" s="39">
        <v>0.85</v>
      </c>
      <c r="D18" s="37"/>
      <c r="H18" s="111" t="s">
        <v>47</v>
      </c>
      <c r="I18" s="111"/>
      <c r="J18" s="82"/>
    </row>
    <row r="19" spans="1:12" ht="37.15" customHeight="1">
      <c r="A19" s="82"/>
      <c r="B19" t="s">
        <v>48</v>
      </c>
      <c r="D19" s="41">
        <f>ROUNDDOWN(C17*C18,0)</f>
        <v>25</v>
      </c>
      <c r="E19" s="36"/>
      <c r="H19" s="115" t="s">
        <v>49</v>
      </c>
      <c r="I19" s="115"/>
      <c r="J19" s="82"/>
      <c r="L19" s="56"/>
    </row>
    <row r="20" spans="1:12" ht="9" customHeight="1">
      <c r="A20" s="82"/>
      <c r="B20" s="82"/>
      <c r="C20" s="82"/>
      <c r="D20" s="83"/>
      <c r="E20" s="82"/>
      <c r="F20" s="82"/>
      <c r="G20" s="82"/>
      <c r="H20" s="82"/>
      <c r="I20" s="82"/>
      <c r="J20" s="82"/>
    </row>
    <row r="21" spans="1:12" ht="31.9" customHeight="1">
      <c r="A21" s="82"/>
      <c r="B21" t="s">
        <v>50</v>
      </c>
      <c r="C21" s="40">
        <v>0.85</v>
      </c>
      <c r="H21" s="111" t="s">
        <v>47</v>
      </c>
      <c r="I21" s="111"/>
      <c r="J21" s="82"/>
    </row>
    <row r="22" spans="1:12" ht="31.9" customHeight="1">
      <c r="A22" s="82"/>
      <c r="B22" t="s">
        <v>51</v>
      </c>
      <c r="C22">
        <f>ROUNDUP(D6*37.5*C21,0)</f>
        <v>32</v>
      </c>
      <c r="D22"/>
      <c r="H22" s="112" t="s">
        <v>52</v>
      </c>
      <c r="I22" s="112"/>
      <c r="J22" s="82"/>
      <c r="L22" s="56"/>
    </row>
    <row r="23" spans="1:12" ht="31.9" customHeight="1">
      <c r="A23" s="82"/>
      <c r="B23" t="s">
        <v>53</v>
      </c>
      <c r="D23" s="9">
        <f>ROUNDDOWN(C22,0)</f>
        <v>32</v>
      </c>
      <c r="H23" s="111" t="s">
        <v>54</v>
      </c>
      <c r="I23" s="111"/>
      <c r="J23" s="82"/>
    </row>
    <row r="24" spans="1:12" ht="9" customHeight="1">
      <c r="A24" s="82"/>
      <c r="B24" s="82"/>
      <c r="C24" s="82"/>
      <c r="D24" s="83"/>
      <c r="E24" s="82"/>
      <c r="F24" s="82"/>
      <c r="G24" s="82"/>
      <c r="H24" s="82"/>
      <c r="I24" s="82"/>
      <c r="J24" s="82"/>
    </row>
    <row r="25" spans="1:12" ht="31.9" customHeight="1">
      <c r="A25" s="82"/>
      <c r="B25" t="s">
        <v>55</v>
      </c>
      <c r="C25">
        <f>D5*37.5</f>
        <v>18.75</v>
      </c>
      <c r="H25" s="112" t="s">
        <v>52</v>
      </c>
      <c r="I25" s="112"/>
      <c r="J25" s="82"/>
      <c r="L25" s="56"/>
    </row>
    <row r="26" spans="1:12" ht="31.9" customHeight="1">
      <c r="A26" s="82"/>
      <c r="B26" t="s">
        <v>56</v>
      </c>
      <c r="D26" s="41">
        <v>6</v>
      </c>
      <c r="H26" s="110" t="s">
        <v>57</v>
      </c>
      <c r="I26" s="110"/>
      <c r="J26" s="82"/>
    </row>
    <row r="27" spans="1:12" ht="31.9" customHeight="1">
      <c r="A27" s="82"/>
      <c r="B27" t="s">
        <v>58</v>
      </c>
      <c r="C27">
        <f>ROUNDUP(C25-D26,0)</f>
        <v>13</v>
      </c>
      <c r="D27" s="37"/>
      <c r="H27" s="114"/>
      <c r="I27" s="114"/>
      <c r="J27" s="82"/>
    </row>
    <row r="28" spans="1:12" ht="31.9" customHeight="1">
      <c r="A28" s="82"/>
      <c r="B28" t="s">
        <v>46</v>
      </c>
      <c r="C28" s="39">
        <v>0.9</v>
      </c>
      <c r="D28" s="37"/>
      <c r="H28" s="111" t="s">
        <v>47</v>
      </c>
      <c r="I28" s="111"/>
      <c r="J28" s="82"/>
    </row>
    <row r="29" spans="1:12" ht="31.9" customHeight="1">
      <c r="A29" s="82"/>
      <c r="B29" t="s">
        <v>59</v>
      </c>
      <c r="C29">
        <f>C27*C28</f>
        <v>11.700000000000001</v>
      </c>
      <c r="D29" s="41">
        <f>ROUNDDOWN(C29*2,0)</f>
        <v>23</v>
      </c>
      <c r="H29" s="110" t="s">
        <v>60</v>
      </c>
      <c r="I29" s="110"/>
      <c r="J29" s="82"/>
    </row>
    <row r="30" spans="1:12" ht="9" customHeight="1">
      <c r="A30" s="82"/>
      <c r="B30" s="82"/>
      <c r="C30" s="82"/>
      <c r="D30" s="83"/>
      <c r="E30" s="82"/>
      <c r="F30" s="82"/>
      <c r="G30" s="82"/>
      <c r="H30" s="82"/>
      <c r="I30" s="82"/>
      <c r="J30" s="82"/>
    </row>
  </sheetData>
  <sortState xmlns:xlrd2="http://schemas.microsoft.com/office/spreadsheetml/2017/richdata2" ref="B2:G9">
    <sortCondition ref="B2:B9"/>
  </sortState>
  <mergeCells count="16">
    <mergeCell ref="H26:I26"/>
    <mergeCell ref="H28:I28"/>
    <mergeCell ref="H27:I27"/>
    <mergeCell ref="H29:I29"/>
    <mergeCell ref="H15:I15"/>
    <mergeCell ref="H17:I17"/>
    <mergeCell ref="H16:I16"/>
    <mergeCell ref="H22:I22"/>
    <mergeCell ref="H18:I18"/>
    <mergeCell ref="H19:I19"/>
    <mergeCell ref="B1:I1"/>
    <mergeCell ref="H14:I14"/>
    <mergeCell ref="H21:I21"/>
    <mergeCell ref="H23:I23"/>
    <mergeCell ref="H25:I25"/>
    <mergeCell ref="I4:I10"/>
  </mergeCells>
  <pageMargins left="0.7" right="0.7" top="0.75" bottom="0.75" header="0.3" footer="0.3"/>
  <pageSetup scale="56" orientation="portrait" r:id="rId1"/>
  <headerFooter>
    <oddHeader>&amp;L&amp;G&amp;C&amp;"Arial,Bold"&amp;14Caregiver Support Center Profit &amp; Loss Tool</oddHeader>
    <oddFooter>&amp;L&amp;"Arial,Regular"&amp;11Reviewed Fall 2025&amp;R&amp;"Arial,Bold"&amp;K00A1E1capc.org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topLeftCell="A41" zoomScale="80" zoomScaleNormal="90" zoomScalePageLayoutView="80" workbookViewId="0">
      <selection activeCell="H3" sqref="H3"/>
    </sheetView>
  </sheetViews>
  <sheetFormatPr defaultColWidth="11" defaultRowHeight="15.6"/>
  <cols>
    <col min="1" max="1" width="2.375" customWidth="1"/>
    <col min="2" max="2" width="5.25" customWidth="1"/>
    <col min="3" max="3" width="23.25" customWidth="1"/>
    <col min="4" max="4" width="27.5" customWidth="1"/>
    <col min="5" max="5" width="26.25" customWidth="1"/>
    <col min="6" max="6" width="27" customWidth="1"/>
    <col min="7" max="7" width="38.75" customWidth="1"/>
    <col min="8" max="8" width="28" customWidth="1"/>
    <col min="9" max="9" width="1.625" customWidth="1"/>
    <col min="10" max="10" width="15.25" style="52" hidden="1" customWidth="1"/>
    <col min="12" max="12" width="36" bestFit="1" customWidth="1"/>
    <col min="13" max="13" width="36" customWidth="1"/>
    <col min="14" max="21" width="11" customWidth="1"/>
  </cols>
  <sheetData>
    <row r="1" spans="1:13" s="1" customFormat="1" ht="45.6" customHeight="1">
      <c r="A1" s="108"/>
      <c r="B1" s="89"/>
      <c r="C1" s="109" t="s">
        <v>21</v>
      </c>
      <c r="D1" s="109"/>
      <c r="E1" s="109"/>
      <c r="F1" s="109"/>
      <c r="G1" s="109"/>
      <c r="H1" s="109"/>
      <c r="I1" s="3"/>
      <c r="J1" s="59" t="s">
        <v>61</v>
      </c>
      <c r="K1" s="90"/>
      <c r="L1" s="91"/>
      <c r="M1" s="91"/>
    </row>
    <row r="2" spans="1:13" s="1" customFormat="1" ht="37.15" customHeight="1">
      <c r="A2" s="108"/>
      <c r="B2" s="91"/>
      <c r="C2" s="2"/>
      <c r="D2" s="2" t="s">
        <v>62</v>
      </c>
      <c r="E2" s="2" t="s">
        <v>63</v>
      </c>
      <c r="F2" s="2"/>
      <c r="G2" s="2" t="s">
        <v>29</v>
      </c>
      <c r="H2" s="2" t="s">
        <v>64</v>
      </c>
      <c r="I2" s="3"/>
      <c r="J2" s="92"/>
      <c r="K2" s="90"/>
      <c r="L2" s="91"/>
      <c r="M2" s="91"/>
    </row>
    <row r="3" spans="1:13" s="1" customFormat="1" ht="46.9">
      <c r="A3" s="108"/>
      <c r="B3" s="91"/>
      <c r="C3" s="4" t="s">
        <v>65</v>
      </c>
      <c r="D3" s="2">
        <v>48</v>
      </c>
      <c r="E3" s="61">
        <v>48</v>
      </c>
      <c r="F3" s="4"/>
      <c r="G3" s="2" t="s">
        <v>66</v>
      </c>
      <c r="H3" s="2" t="s">
        <v>67</v>
      </c>
      <c r="I3" s="3"/>
      <c r="J3" s="92"/>
      <c r="K3" s="90"/>
      <c r="L3" s="91"/>
      <c r="M3" s="91"/>
    </row>
    <row r="4" spans="1:13" s="1" customFormat="1" ht="10.15" customHeight="1">
      <c r="A4" s="108"/>
      <c r="B4" s="93"/>
      <c r="C4" s="8"/>
      <c r="D4" s="3"/>
      <c r="E4" s="8"/>
      <c r="F4" s="8"/>
      <c r="G4" s="3"/>
      <c r="H4" s="3"/>
      <c r="I4" s="3"/>
      <c r="J4" s="92"/>
      <c r="K4" s="90"/>
      <c r="L4" s="91"/>
      <c r="M4" s="91"/>
    </row>
    <row r="5" spans="1:13" s="1" customFormat="1" ht="46.9" customHeight="1">
      <c r="A5" s="108"/>
      <c r="B5" s="118" t="s">
        <v>68</v>
      </c>
      <c r="C5" s="4" t="s">
        <v>69</v>
      </c>
      <c r="D5" s="2">
        <f>(6*50)</f>
        <v>300</v>
      </c>
      <c r="E5" s="62">
        <f>'Staffing and Capacity'!D26*50</f>
        <v>300</v>
      </c>
      <c r="F5" s="62"/>
      <c r="G5" s="110" t="s">
        <v>70</v>
      </c>
      <c r="H5" s="73">
        <f>202.08*0.85</f>
        <v>171.768</v>
      </c>
      <c r="I5" s="3"/>
      <c r="J5" s="92">
        <f>H5*E5</f>
        <v>51530.400000000001</v>
      </c>
      <c r="K5" s="90"/>
      <c r="L5" s="91"/>
      <c r="M5" s="94"/>
    </row>
    <row r="6" spans="1:13" s="1" customFormat="1" ht="46.9" customHeight="1">
      <c r="A6" s="108"/>
      <c r="B6" s="118"/>
      <c r="C6" s="4" t="s">
        <v>71</v>
      </c>
      <c r="D6" s="2">
        <f>23*50</f>
        <v>1150</v>
      </c>
      <c r="E6" s="62">
        <f>'Staffing and Capacity'!D29*50</f>
        <v>1150</v>
      </c>
      <c r="F6" s="62"/>
      <c r="G6" s="110"/>
      <c r="H6" s="42"/>
      <c r="I6" s="3"/>
      <c r="J6" s="92"/>
      <c r="K6" s="90"/>
      <c r="L6" s="91"/>
      <c r="M6" s="91"/>
    </row>
    <row r="7" spans="1:13" s="1" customFormat="1" ht="46.9" customHeight="1">
      <c r="A7" s="108"/>
      <c r="B7" s="118"/>
      <c r="C7" s="6" t="s">
        <v>72</v>
      </c>
      <c r="D7" s="69">
        <v>0.6</v>
      </c>
      <c r="E7" s="63">
        <f>F7*E6</f>
        <v>690</v>
      </c>
      <c r="F7" s="64">
        <v>0.6</v>
      </c>
      <c r="G7" s="110" t="s">
        <v>73</v>
      </c>
      <c r="H7" s="74">
        <f>95.19*85%</f>
        <v>80.91149999999999</v>
      </c>
      <c r="I7" s="3"/>
      <c r="J7" s="92">
        <f>H7*E7</f>
        <v>55828.93499999999</v>
      </c>
      <c r="K7" s="95"/>
      <c r="L7" s="91"/>
      <c r="M7" s="91"/>
    </row>
    <row r="8" spans="1:13" s="1" customFormat="1" ht="46.9" customHeight="1">
      <c r="A8" s="108"/>
      <c r="B8" s="118"/>
      <c r="C8" s="6" t="s">
        <v>74</v>
      </c>
      <c r="D8" s="69">
        <v>0.4</v>
      </c>
      <c r="E8" s="63">
        <f>F8*E6</f>
        <v>460</v>
      </c>
      <c r="F8" s="64">
        <v>0.4</v>
      </c>
      <c r="G8" s="110"/>
      <c r="H8" s="75">
        <f>81.5*85%</f>
        <v>69.274999999999991</v>
      </c>
      <c r="I8" s="3"/>
      <c r="J8" s="92">
        <f>H8*E8</f>
        <v>31866.499999999996</v>
      </c>
      <c r="K8" s="90"/>
      <c r="L8" s="96"/>
      <c r="M8" s="91"/>
    </row>
    <row r="9" spans="1:13" s="1" customFormat="1" ht="10.15" customHeight="1">
      <c r="A9" s="108"/>
      <c r="B9" s="93"/>
      <c r="C9" s="8"/>
      <c r="D9" s="3"/>
      <c r="E9" s="8"/>
      <c r="F9" s="8"/>
      <c r="G9" s="3"/>
      <c r="H9" s="3"/>
      <c r="I9" s="3"/>
      <c r="J9" s="92"/>
      <c r="K9" s="90"/>
      <c r="L9" s="91"/>
      <c r="M9" s="91"/>
    </row>
    <row r="10" spans="1:13" s="1" customFormat="1" ht="46.9" customHeight="1">
      <c r="A10" s="108"/>
      <c r="B10" s="118" t="s">
        <v>75</v>
      </c>
      <c r="C10" s="4" t="s">
        <v>76</v>
      </c>
      <c r="D10" s="2">
        <f>8*D3</f>
        <v>384</v>
      </c>
      <c r="E10" s="62">
        <f>'Staffing and Capacity'!D16*'Rev and Profit Calculations'!E3</f>
        <v>384</v>
      </c>
      <c r="F10" s="62"/>
      <c r="G10" s="110" t="s">
        <v>77</v>
      </c>
      <c r="H10" s="73">
        <v>173.75</v>
      </c>
      <c r="I10" s="3"/>
      <c r="J10" s="92">
        <f>H10*E10</f>
        <v>66720</v>
      </c>
      <c r="K10" s="90"/>
      <c r="L10" s="91"/>
      <c r="M10" s="91"/>
    </row>
    <row r="11" spans="1:13" s="1" customFormat="1" ht="46.9" customHeight="1">
      <c r="A11" s="108"/>
      <c r="B11" s="118"/>
      <c r="C11" s="4" t="s">
        <v>78</v>
      </c>
      <c r="D11" s="2">
        <f>26*D3</f>
        <v>1248</v>
      </c>
      <c r="E11" s="65">
        <f>'Staffing and Capacity'!D19*'Rev and Profit Calculations'!E3</f>
        <v>1200</v>
      </c>
      <c r="F11" s="65"/>
      <c r="G11" s="110"/>
      <c r="H11" s="42"/>
      <c r="I11" s="3"/>
      <c r="J11" s="92"/>
      <c r="K11" s="90"/>
      <c r="L11" s="91"/>
      <c r="M11" s="91"/>
    </row>
    <row r="12" spans="1:13" s="1" customFormat="1" ht="46.9" customHeight="1">
      <c r="A12" s="108"/>
      <c r="B12" s="118"/>
      <c r="C12" s="4" t="s">
        <v>79</v>
      </c>
      <c r="D12" s="70">
        <v>0.75</v>
      </c>
      <c r="E12" s="66">
        <f>E11*F12</f>
        <v>900</v>
      </c>
      <c r="F12" s="67">
        <v>0.75</v>
      </c>
      <c r="G12" s="110" t="s">
        <v>80</v>
      </c>
      <c r="H12" s="75">
        <v>113.9</v>
      </c>
      <c r="I12" s="3"/>
      <c r="J12" s="92">
        <f>H12*E12</f>
        <v>102510</v>
      </c>
      <c r="K12" s="90"/>
      <c r="L12" s="91"/>
      <c r="M12" s="91"/>
    </row>
    <row r="13" spans="1:13" s="1" customFormat="1" ht="46.9" customHeight="1">
      <c r="A13" s="108"/>
      <c r="B13" s="118"/>
      <c r="C13" s="4" t="s">
        <v>81</v>
      </c>
      <c r="D13" s="70">
        <v>0.25</v>
      </c>
      <c r="E13" s="66">
        <f>E11*F13</f>
        <v>300</v>
      </c>
      <c r="F13" s="67">
        <v>0.25</v>
      </c>
      <c r="G13" s="110"/>
      <c r="H13" s="75">
        <v>109.55</v>
      </c>
      <c r="I13" s="3"/>
      <c r="J13" s="92">
        <f>H13*E13</f>
        <v>32865</v>
      </c>
      <c r="K13" s="90"/>
      <c r="L13" s="91"/>
      <c r="M13" s="91"/>
    </row>
    <row r="14" spans="1:13" s="1" customFormat="1" ht="46.9" customHeight="1">
      <c r="A14" s="108"/>
      <c r="B14" s="118"/>
      <c r="C14" s="4" t="s">
        <v>82</v>
      </c>
      <c r="D14" s="70">
        <v>0</v>
      </c>
      <c r="E14" s="66">
        <f>E11*F14</f>
        <v>0</v>
      </c>
      <c r="F14" s="67">
        <v>0</v>
      </c>
      <c r="G14" s="110"/>
      <c r="H14" s="75">
        <f>5*30.39</f>
        <v>151.94999999999999</v>
      </c>
      <c r="I14" s="3"/>
      <c r="J14" s="92">
        <f>H14*E14</f>
        <v>0</v>
      </c>
      <c r="K14" s="90"/>
      <c r="L14" s="91"/>
      <c r="M14" s="91"/>
    </row>
    <row r="15" spans="1:13" s="1" customFormat="1" ht="46.9" customHeight="1">
      <c r="A15" s="108"/>
      <c r="B15" s="118"/>
      <c r="C15" s="4" t="s">
        <v>83</v>
      </c>
      <c r="D15" s="70" t="s">
        <v>84</v>
      </c>
      <c r="E15" s="66">
        <f>F15*E11</f>
        <v>120</v>
      </c>
      <c r="F15" s="67">
        <f>10%</f>
        <v>0.1</v>
      </c>
      <c r="G15" s="2" t="s">
        <v>85</v>
      </c>
      <c r="H15" s="75">
        <v>14.7</v>
      </c>
      <c r="I15" s="3"/>
      <c r="J15" s="92">
        <f>H15*E15</f>
        <v>1764</v>
      </c>
      <c r="K15" s="90"/>
      <c r="L15" s="91"/>
      <c r="M15" s="91"/>
    </row>
    <row r="16" spans="1:13" s="1" customFormat="1" ht="10.15" customHeight="1">
      <c r="A16" s="108"/>
      <c r="B16" s="60"/>
      <c r="C16" s="8"/>
      <c r="D16" s="3"/>
      <c r="E16" s="8"/>
      <c r="F16" s="8"/>
      <c r="G16" s="3"/>
      <c r="H16" s="3"/>
      <c r="I16" s="3"/>
      <c r="J16" s="92"/>
      <c r="K16" s="90"/>
      <c r="L16" s="91"/>
      <c r="M16" s="91"/>
    </row>
    <row r="17" spans="1:14" s="1" customFormat="1" ht="46.9" customHeight="1">
      <c r="A17" s="108"/>
      <c r="B17" s="119" t="s">
        <v>33</v>
      </c>
      <c r="C17" s="4" t="s">
        <v>78</v>
      </c>
      <c r="D17" s="2">
        <f>34*D3</f>
        <v>1632</v>
      </c>
      <c r="E17" s="65">
        <f>'Staffing and Capacity'!D23*'Rev and Profit Calculations'!E3</f>
        <v>1536</v>
      </c>
      <c r="F17" s="65"/>
      <c r="G17" s="2" t="s">
        <v>77</v>
      </c>
      <c r="H17" s="12"/>
      <c r="I17" s="3"/>
      <c r="J17" s="92"/>
      <c r="K17" s="90"/>
      <c r="L17" s="91"/>
      <c r="M17" s="91"/>
      <c r="N17" s="91"/>
    </row>
    <row r="18" spans="1:14" s="1" customFormat="1" ht="46.9" customHeight="1">
      <c r="A18" s="108"/>
      <c r="B18" s="119"/>
      <c r="C18" s="4" t="s">
        <v>79</v>
      </c>
      <c r="D18" s="70">
        <v>0.7</v>
      </c>
      <c r="E18" s="62">
        <f>F18*E17</f>
        <v>1075.1999999999998</v>
      </c>
      <c r="F18" s="68">
        <v>0.7</v>
      </c>
      <c r="G18" s="110" t="s">
        <v>86</v>
      </c>
      <c r="H18" s="75">
        <v>113.9</v>
      </c>
      <c r="I18" s="3"/>
      <c r="J18" s="92">
        <f>H18*E18</f>
        <v>122465.27999999998</v>
      </c>
      <c r="K18" s="90"/>
      <c r="L18" s="91"/>
      <c r="M18" s="91"/>
      <c r="N18" s="91"/>
    </row>
    <row r="19" spans="1:14" s="1" customFormat="1" ht="46.9" customHeight="1">
      <c r="A19" s="108"/>
      <c r="B19" s="119"/>
      <c r="C19" s="4" t="s">
        <v>81</v>
      </c>
      <c r="D19" s="70">
        <v>0.15</v>
      </c>
      <c r="E19" s="62">
        <f>F19*E17</f>
        <v>230.39999999999998</v>
      </c>
      <c r="F19" s="68">
        <v>0.15</v>
      </c>
      <c r="G19" s="110"/>
      <c r="H19" s="75">
        <v>109.55</v>
      </c>
      <c r="I19" s="3"/>
      <c r="J19" s="92">
        <f>H19*E19</f>
        <v>25240.319999999996</v>
      </c>
      <c r="K19" s="90"/>
      <c r="L19" s="91"/>
      <c r="M19" s="91"/>
      <c r="N19" s="91"/>
    </row>
    <row r="20" spans="1:14" s="1" customFormat="1" ht="46.9" customHeight="1">
      <c r="A20" s="108"/>
      <c r="B20" s="119"/>
      <c r="C20" s="4" t="s">
        <v>82</v>
      </c>
      <c r="D20" s="70">
        <v>0.15</v>
      </c>
      <c r="E20" s="62">
        <f>F20*E17</f>
        <v>230.39999999999998</v>
      </c>
      <c r="F20" s="68">
        <v>0.15</v>
      </c>
      <c r="G20" s="110"/>
      <c r="H20" s="75">
        <f>5*30.39</f>
        <v>151.94999999999999</v>
      </c>
      <c r="I20" s="3"/>
      <c r="J20" s="92">
        <f>H20*E20</f>
        <v>35009.279999999992</v>
      </c>
      <c r="K20" s="90"/>
      <c r="L20" s="91"/>
      <c r="M20" s="91"/>
      <c r="N20" s="91"/>
    </row>
    <row r="21" spans="1:14" s="1" customFormat="1" ht="46.9" customHeight="1">
      <c r="A21" s="108"/>
      <c r="B21" s="119"/>
      <c r="C21" s="4" t="s">
        <v>83</v>
      </c>
      <c r="D21" s="70" t="s">
        <v>84</v>
      </c>
      <c r="E21" s="62">
        <f>F21*E17</f>
        <v>153.60000000000002</v>
      </c>
      <c r="F21" s="68">
        <v>0.1</v>
      </c>
      <c r="G21" s="110" t="s">
        <v>87</v>
      </c>
      <c r="H21" s="75">
        <v>14.7</v>
      </c>
      <c r="I21" s="3"/>
      <c r="J21" s="92">
        <f>H21*E21</f>
        <v>2257.92</v>
      </c>
      <c r="K21" s="90"/>
      <c r="L21" s="91"/>
      <c r="M21" s="91"/>
      <c r="N21" s="91"/>
    </row>
    <row r="22" spans="1:14" s="1" customFormat="1" ht="46.9" customHeight="1">
      <c r="A22" s="108"/>
      <c r="B22" s="119"/>
      <c r="C22" s="84" t="s">
        <v>88</v>
      </c>
      <c r="D22" s="85" t="s">
        <v>84</v>
      </c>
      <c r="E22" s="62">
        <f>F22*E17</f>
        <v>153.60000000000002</v>
      </c>
      <c r="F22" s="68">
        <v>0.1</v>
      </c>
      <c r="G22" s="110"/>
      <c r="H22" s="75">
        <v>52.08</v>
      </c>
      <c r="I22" s="3"/>
      <c r="J22" s="92">
        <f>H22*E22</f>
        <v>7999.4880000000012</v>
      </c>
      <c r="K22" s="90"/>
      <c r="L22" s="94"/>
      <c r="M22" s="91"/>
      <c r="N22" s="91"/>
    </row>
    <row r="23" spans="1:14" ht="10.15" customHeight="1">
      <c r="A23" s="82"/>
      <c r="B23" s="3"/>
      <c r="C23" s="3"/>
      <c r="D23" s="3"/>
      <c r="E23" s="3"/>
      <c r="F23" s="3"/>
      <c r="G23" s="3"/>
      <c r="H23" s="3"/>
      <c r="I23" s="3"/>
    </row>
    <row r="24" spans="1:14" ht="29.45" customHeight="1">
      <c r="A24" s="82"/>
      <c r="C24" s="72" t="s">
        <v>89</v>
      </c>
      <c r="D24" s="10" t="s">
        <v>90</v>
      </c>
      <c r="E24" s="10" t="s">
        <v>91</v>
      </c>
      <c r="F24" s="10" t="s">
        <v>92</v>
      </c>
      <c r="G24" s="10" t="s">
        <v>93</v>
      </c>
      <c r="I24" s="22"/>
    </row>
    <row r="25" spans="1:14" ht="22.7" customHeight="1">
      <c r="A25" s="82"/>
      <c r="C25" t="s">
        <v>94</v>
      </c>
      <c r="D25" s="71">
        <f>(75%+1%-G25)/2</f>
        <v>0.32</v>
      </c>
      <c r="E25" s="71">
        <f>D25</f>
        <v>0.32</v>
      </c>
      <c r="F25" s="71">
        <v>0.24</v>
      </c>
      <c r="G25" s="71">
        <v>0.12</v>
      </c>
      <c r="I25" s="23"/>
      <c r="J25" s="57"/>
    </row>
    <row r="26" spans="1:14" ht="46.9">
      <c r="A26" s="82"/>
      <c r="C26" t="s">
        <v>95</v>
      </c>
      <c r="D26" s="32">
        <v>0.32</v>
      </c>
      <c r="E26" s="32">
        <v>0.32</v>
      </c>
      <c r="F26" s="32">
        <v>0.24</v>
      </c>
      <c r="G26" s="32">
        <v>0.12</v>
      </c>
      <c r="H26" s="58" t="s">
        <v>96</v>
      </c>
      <c r="I26" s="24"/>
      <c r="J26" s="57"/>
    </row>
    <row r="27" spans="1:14" ht="10.15" customHeight="1">
      <c r="A27" s="82"/>
      <c r="B27" s="3"/>
      <c r="C27" s="3"/>
      <c r="D27" s="3"/>
      <c r="E27" s="3"/>
      <c r="F27" s="3"/>
      <c r="G27" s="3"/>
      <c r="H27" s="3"/>
      <c r="I27" s="3"/>
    </row>
    <row r="28" spans="1:14" ht="37.9" customHeight="1">
      <c r="A28" s="82"/>
      <c r="C28" s="10" t="s">
        <v>97</v>
      </c>
      <c r="D28" s="72" t="s">
        <v>98</v>
      </c>
      <c r="E28" s="72" t="s">
        <v>99</v>
      </c>
      <c r="F28" s="72" t="s">
        <v>100</v>
      </c>
      <c r="G28" s="72" t="s">
        <v>101</v>
      </c>
      <c r="I28" s="22"/>
      <c r="J28" s="53"/>
    </row>
    <row r="29" spans="1:14" ht="39.6" customHeight="1">
      <c r="A29" s="82"/>
      <c r="D29" s="10"/>
      <c r="E29" s="55" t="s">
        <v>102</v>
      </c>
      <c r="F29" s="55" t="s">
        <v>103</v>
      </c>
      <c r="G29" s="55" t="s">
        <v>104</v>
      </c>
      <c r="I29" s="22"/>
      <c r="J29" s="53"/>
    </row>
    <row r="30" spans="1:14" ht="62.45">
      <c r="A30" s="82"/>
      <c r="C30" t="s">
        <v>94</v>
      </c>
      <c r="D30" s="7">
        <v>1</v>
      </c>
      <c r="E30" s="7">
        <f>AVERAGE(87%,96%)</f>
        <v>0.91500000000000004</v>
      </c>
      <c r="F30" s="7">
        <f>AVERAGE(87%,143%)</f>
        <v>1.1499999999999999</v>
      </c>
      <c r="G30" s="7">
        <v>0.81</v>
      </c>
      <c r="H30" s="58" t="s">
        <v>105</v>
      </c>
      <c r="I30" s="23"/>
      <c r="J30" s="53"/>
    </row>
    <row r="31" spans="1:14" s="1" customFormat="1" ht="9.6" customHeight="1">
      <c r="A31" s="108"/>
      <c r="B31" s="3"/>
      <c r="C31" s="3"/>
      <c r="D31" s="3"/>
      <c r="E31" s="3"/>
      <c r="F31" s="3"/>
      <c r="G31" s="3"/>
      <c r="H31" s="3"/>
      <c r="I31" s="3"/>
      <c r="J31" s="92"/>
      <c r="K31" s="90"/>
      <c r="L31" s="91"/>
      <c r="M31" s="91"/>
      <c r="N31" s="91"/>
    </row>
    <row r="32" spans="1:14" s="1" customFormat="1" ht="24" customHeight="1">
      <c r="A32" s="108"/>
      <c r="B32" s="91"/>
      <c r="C32" s="117" t="s">
        <v>106</v>
      </c>
      <c r="D32" s="117"/>
      <c r="E32" s="117"/>
      <c r="F32" s="117"/>
      <c r="G32" s="117"/>
      <c r="H32" s="117"/>
      <c r="I32" s="3"/>
      <c r="J32" s="110"/>
      <c r="K32" s="110"/>
      <c r="L32" s="110"/>
      <c r="M32" s="110"/>
      <c r="N32" s="110"/>
    </row>
    <row r="33" spans="1:14" s="1" customFormat="1" ht="24" customHeight="1">
      <c r="A33" s="108"/>
      <c r="B33" s="91"/>
      <c r="C33" s="2"/>
      <c r="D33" s="10" t="s">
        <v>90</v>
      </c>
      <c r="E33" s="10" t="s">
        <v>91</v>
      </c>
      <c r="F33" s="10" t="s">
        <v>92</v>
      </c>
      <c r="G33" s="10" t="s">
        <v>93</v>
      </c>
      <c r="H33" s="91"/>
      <c r="I33" s="3"/>
      <c r="J33" s="54"/>
      <c r="K33" s="2"/>
      <c r="L33" s="2"/>
      <c r="M33" s="2"/>
      <c r="N33" s="2"/>
    </row>
    <row r="34" spans="1:14" ht="29.45" customHeight="1">
      <c r="A34" s="82"/>
      <c r="B34" s="116" t="s">
        <v>107</v>
      </c>
      <c r="C34" t="s">
        <v>108</v>
      </c>
      <c r="D34" s="78">
        <f>$E$5*($H$5*D$30)*D$26</f>
        <v>16489.727999999999</v>
      </c>
      <c r="E34" s="78">
        <f>$E$5*($H$5*E$30)*E$26</f>
        <v>15088.101119999999</v>
      </c>
      <c r="F34" s="78">
        <f>$E$5*($H$5*F$30)*F$26</f>
        <v>14222.390399999998</v>
      </c>
      <c r="G34" s="78">
        <f>$E$5*($H$5*G$30)*G$26</f>
        <v>5008.7548800000004</v>
      </c>
      <c r="I34" s="26"/>
      <c r="K34" s="11"/>
      <c r="L34" s="11"/>
      <c r="M34" s="11"/>
      <c r="N34" s="11"/>
    </row>
    <row r="35" spans="1:14" ht="29.45" customHeight="1">
      <c r="A35" s="82"/>
      <c r="B35" s="116"/>
      <c r="C35" t="s">
        <v>109</v>
      </c>
      <c r="D35" s="78">
        <f>$E$10*($H$10*D$30)*D$26</f>
        <v>21350.400000000001</v>
      </c>
      <c r="E35" s="78">
        <f>$E$10*($H$10*E$30)*E$26</f>
        <v>19535.616000000002</v>
      </c>
      <c r="F35" s="78">
        <f>$E$10*($H$10*F$30)*F$26</f>
        <v>18414.719999999998</v>
      </c>
      <c r="G35" s="78">
        <f>$E$10*($H$10*G$30)*G$26</f>
        <v>6485.1840000000002</v>
      </c>
      <c r="I35" s="26"/>
      <c r="K35" s="11"/>
      <c r="L35" s="11"/>
      <c r="M35" s="11"/>
      <c r="N35" s="11"/>
    </row>
    <row r="36" spans="1:14" ht="29.45" customHeight="1">
      <c r="A36" s="82"/>
      <c r="B36" s="116"/>
      <c r="C36" t="s">
        <v>110</v>
      </c>
      <c r="D36" s="78">
        <f>$E$7*($H$7*D$30)*D$26</f>
        <v>17865.259199999997</v>
      </c>
      <c r="E36" s="78">
        <f>$E$7*($H$7*E$30)*E$26</f>
        <v>16346.712167999998</v>
      </c>
      <c r="F36" s="78">
        <f>$E$7*($H$7*F$30)*F$26</f>
        <v>15408.786059999995</v>
      </c>
      <c r="G36" s="78">
        <f>$E$7*($H$7*G$30)*G$26</f>
        <v>5426.5724819999996</v>
      </c>
      <c r="I36" s="26"/>
      <c r="K36" s="11"/>
      <c r="L36" s="11"/>
      <c r="M36" s="11"/>
      <c r="N36" s="11"/>
    </row>
    <row r="37" spans="1:14" ht="29.45" customHeight="1">
      <c r="A37" s="82"/>
      <c r="B37" s="116"/>
      <c r="C37" t="s">
        <v>111</v>
      </c>
      <c r="D37" s="78">
        <f>(($E$12*$H$12*D$30)+($E$18*$H$18*D$30))*D$26</f>
        <v>71992.089599999992</v>
      </c>
      <c r="E37" s="78">
        <f>(($E$12*$H$12*E$30)+($E$18*$H$18*E$30))*E$26</f>
        <v>65872.761983999997</v>
      </c>
      <c r="F37" s="78">
        <f>(($E$12*$H$12*F$30)+($E$18*$H$18*F$30))*F$26</f>
        <v>62093.177279999996</v>
      </c>
      <c r="G37" s="78">
        <f>(($E$12*$H$12*G$30)+($E$18*$H$18*G$30))*G$26</f>
        <v>21867.597215999998</v>
      </c>
      <c r="I37" s="26"/>
      <c r="K37" s="11"/>
      <c r="L37" s="11"/>
      <c r="M37" s="11"/>
      <c r="N37" s="11"/>
    </row>
    <row r="38" spans="1:14" ht="29.45" customHeight="1">
      <c r="A38" s="82"/>
      <c r="B38" s="116"/>
      <c r="C38" t="s">
        <v>112</v>
      </c>
      <c r="D38" s="78">
        <f>(($E$13*$H$13*D$30)+($E$19*$H$19*D$30))*D$26</f>
        <v>18593.702399999998</v>
      </c>
      <c r="E38" s="78">
        <f>(($E$13*$H$13*E$30)+($E$19*$H$19*E$30))*E$26</f>
        <v>17013.237696</v>
      </c>
      <c r="F38" s="78">
        <f>(($E$13*$H$13*F$30)+($E$19*$H$19*F$30))*F$26</f>
        <v>16037.068319999997</v>
      </c>
      <c r="G38" s="78">
        <f>(($E$13*$H$13*G$30)+($E$19*$H$19*G$30))*G$26</f>
        <v>5647.8371040000002</v>
      </c>
      <c r="I38" s="26"/>
      <c r="K38" s="11"/>
      <c r="L38" s="11"/>
      <c r="M38" s="11"/>
      <c r="N38" s="11"/>
    </row>
    <row r="39" spans="1:14" ht="29.45" customHeight="1">
      <c r="A39" s="82"/>
      <c r="B39" s="116"/>
      <c r="C39" t="s">
        <v>113</v>
      </c>
      <c r="D39" s="78">
        <f>(($E$14*$H$14*D$30)+($E$20*$H$20*D$30))*D$26</f>
        <v>11202.969599999997</v>
      </c>
      <c r="E39" s="78">
        <f>(($E$14*$H$14*E$30)+($E$20*$H$20*E$30))*E$26</f>
        <v>10250.717183999997</v>
      </c>
      <c r="F39" s="78">
        <f>(($E$14*$H$14*F$30)+($E$20*$H$20*F$30))*F$26</f>
        <v>9662.5612799999963</v>
      </c>
      <c r="G39" s="78">
        <f>(($E$14*$H$14*G$30)+($E$20*$H$20*G$30))*G$26</f>
        <v>3402.9020159999991</v>
      </c>
      <c r="I39" s="26"/>
      <c r="K39" s="11"/>
      <c r="L39" s="11"/>
      <c r="M39" s="11"/>
      <c r="N39" s="11"/>
    </row>
    <row r="40" spans="1:14" ht="29.45" customHeight="1">
      <c r="A40" s="82"/>
      <c r="B40" s="116"/>
      <c r="C40" t="s">
        <v>114</v>
      </c>
      <c r="D40" s="79">
        <f>(($E$15*$H$15*D$30)+($E$21*$H$21*D$30)+($E$22*$H$22*D$30))*D$26</f>
        <v>3846.8505600000003</v>
      </c>
      <c r="E40" s="79">
        <f>(($E$15*$H$15*E$30)+($E$21*$H$21*E$30)+($E$22*$H$22*E$30))*E$26</f>
        <v>3519.8682624000007</v>
      </c>
      <c r="F40" s="79">
        <f>(($E$15*$H$15*F$30)+($E$21*$H$21*F$30)+($E$22*$H$22*F$30))*F$26</f>
        <v>3317.9086080000002</v>
      </c>
      <c r="G40" s="79">
        <v>0</v>
      </c>
      <c r="I40" s="26"/>
      <c r="K40" s="11"/>
      <c r="L40" s="11"/>
      <c r="M40" s="11"/>
      <c r="N40" s="11"/>
    </row>
    <row r="41" spans="1:14" ht="29.45" customHeight="1">
      <c r="A41" s="82"/>
      <c r="B41" s="5"/>
      <c r="C41" t="s">
        <v>115</v>
      </c>
      <c r="D41" s="80">
        <f>SUM(D34:D40)</f>
        <v>161340.99935999996</v>
      </c>
      <c r="E41" s="80">
        <f t="shared" ref="E41" si="0">SUM(E34:E40)</f>
        <v>147627.01441440001</v>
      </c>
      <c r="F41" s="80">
        <f>SUM(F34:F40)</f>
        <v>139156.61194799998</v>
      </c>
      <c r="G41" s="80">
        <f>SUM(G34:G40)</f>
        <v>47838.847697999998</v>
      </c>
      <c r="I41" s="26"/>
      <c r="K41" s="11"/>
      <c r="L41" s="11"/>
      <c r="M41" s="11"/>
      <c r="N41" s="11"/>
    </row>
    <row r="42" spans="1:14" ht="11.45" customHeight="1">
      <c r="A42" s="82"/>
      <c r="B42" s="3"/>
      <c r="C42" s="3"/>
      <c r="D42" s="3"/>
      <c r="E42" s="3"/>
      <c r="F42" s="3"/>
      <c r="G42" s="3"/>
      <c r="I42" s="3"/>
      <c r="K42" s="11"/>
      <c r="L42" s="11"/>
      <c r="M42" s="11"/>
      <c r="N42" s="11"/>
    </row>
    <row r="43" spans="1:14" ht="29.45" customHeight="1">
      <c r="A43" s="82"/>
      <c r="C43" t="s">
        <v>116</v>
      </c>
      <c r="D43" s="80">
        <f>SUM(D41:G41)</f>
        <v>495963.47342039994</v>
      </c>
      <c r="E43" s="11"/>
      <c r="F43" s="11"/>
      <c r="G43" s="11" t="s">
        <v>117</v>
      </c>
      <c r="H43" s="77">
        <f>SUM(J5:J22)</f>
        <v>536057.12300000002</v>
      </c>
      <c r="I43" s="25"/>
      <c r="J43" s="52">
        <f>H43/(D5+D6+D10+D11+D17)</f>
        <v>113.71597857445906</v>
      </c>
    </row>
    <row r="44" spans="1:14" ht="29.45" customHeight="1">
      <c r="A44" s="82"/>
      <c r="C44" t="s">
        <v>118</v>
      </c>
      <c r="D44" s="80">
        <f>'Staffing and Capacity'!H11</f>
        <v>389725</v>
      </c>
      <c r="E44" s="33" t="s">
        <v>119</v>
      </c>
      <c r="F44" s="33"/>
      <c r="G44" s="11"/>
      <c r="H44" s="11"/>
      <c r="I44" s="25"/>
    </row>
    <row r="45" spans="1:14" ht="51.6" customHeight="1">
      <c r="A45" s="82"/>
      <c r="C45" s="5" t="s">
        <v>120</v>
      </c>
      <c r="D45" s="80">
        <f>E45*D43</f>
        <v>99192.694684079994</v>
      </c>
      <c r="E45" s="32">
        <v>0.2</v>
      </c>
      <c r="F45" s="111" t="s">
        <v>121</v>
      </c>
      <c r="G45" s="112"/>
      <c r="H45" s="34"/>
      <c r="I45" s="25"/>
    </row>
    <row r="46" spans="1:14" ht="29.45" customHeight="1">
      <c r="A46" s="82"/>
      <c r="C46" s="9" t="s">
        <v>122</v>
      </c>
      <c r="D46" s="81">
        <f>D43-SUM(D44:D45)</f>
        <v>7045.778736319975</v>
      </c>
      <c r="E46" s="11"/>
      <c r="F46" s="11"/>
      <c r="G46" s="11"/>
      <c r="H46" s="11"/>
      <c r="I46" s="25"/>
    </row>
    <row r="47" spans="1:14" ht="11.45" customHeight="1">
      <c r="A47" s="82"/>
      <c r="B47" s="3"/>
      <c r="C47" s="3"/>
      <c r="D47" s="3"/>
      <c r="E47" s="3"/>
      <c r="F47" s="3"/>
      <c r="G47" s="3"/>
      <c r="H47" s="3"/>
      <c r="I47" s="3"/>
    </row>
    <row r="48" spans="1:14" ht="29.45" customHeight="1">
      <c r="I48" s="11"/>
    </row>
  </sheetData>
  <mergeCells count="14">
    <mergeCell ref="F45:G45"/>
    <mergeCell ref="B34:B40"/>
    <mergeCell ref="C32:H32"/>
    <mergeCell ref="J32:N32"/>
    <mergeCell ref="C1:H1"/>
    <mergeCell ref="G7:G8"/>
    <mergeCell ref="B5:B8"/>
    <mergeCell ref="B10:B15"/>
    <mergeCell ref="G10:G11"/>
    <mergeCell ref="G5:G6"/>
    <mergeCell ref="G12:G14"/>
    <mergeCell ref="G18:G20"/>
    <mergeCell ref="G21:G22"/>
    <mergeCell ref="B17:B22"/>
  </mergeCells>
  <pageMargins left="0.7" right="0.7" top="0.75" bottom="0.75" header="0.3" footer="0.3"/>
  <pageSetup scale="42" orientation="portrait" horizontalDpi="1200" verticalDpi="1200" r:id="rId1"/>
  <headerFooter>
    <oddHeader>&amp;L&amp;G&amp;C&amp;"Arial,Bold"&amp;14Caregiver Support Center Profit &amp; Loss Tool</oddHeader>
    <oddFooter>&amp;L&amp;"Arial,Regular"&amp;11&amp;K000000Reviewed Fall 2025&amp;R&amp;"Arial,Bold"&amp;K00A1E1capc.org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FBD6F-855A-4464-9634-9ACA3BC8572D}">
  <sheetPr>
    <tabColor theme="2"/>
  </sheetPr>
  <dimension ref="A1:C11"/>
  <sheetViews>
    <sheetView workbookViewId="0">
      <selection sqref="A1:B1"/>
    </sheetView>
  </sheetViews>
  <sheetFormatPr defaultRowHeight="15.6"/>
  <cols>
    <col min="1" max="1" width="21" customWidth="1"/>
    <col min="2" max="2" width="13.125" customWidth="1"/>
    <col min="3" max="3" width="17.625" bestFit="1" customWidth="1"/>
  </cols>
  <sheetData>
    <row r="1" spans="1:3" ht="15.75">
      <c r="A1" s="120" t="s">
        <v>123</v>
      </c>
      <c r="B1" s="120"/>
    </row>
    <row r="3" spans="1:3">
      <c r="A3" t="s">
        <v>124</v>
      </c>
      <c r="B3" s="88">
        <f>'Rev and Profit Calculations'!D5+'Rev and Profit Calculations'!D6+'Rev and Profit Calculations'!D10+'Rev and Profit Calculations'!D11+'Rev and Profit Calculations'!D17</f>
        <v>4714</v>
      </c>
      <c r="C3" t="s">
        <v>125</v>
      </c>
    </row>
    <row r="4" spans="1:3">
      <c r="A4" t="s">
        <v>124</v>
      </c>
      <c r="B4" s="88">
        <f>B3/'Staffing and Capacity'!C18</f>
        <v>5545.8823529411766</v>
      </c>
      <c r="C4" t="s">
        <v>126</v>
      </c>
    </row>
    <row r="6" spans="1:3" ht="38.25" customHeight="1">
      <c r="A6" s="5" t="s">
        <v>127</v>
      </c>
      <c r="B6" s="86">
        <f>'Rev and Profit Calculations'!J43</f>
        <v>113.71597857445906</v>
      </c>
      <c r="C6" t="s">
        <v>128</v>
      </c>
    </row>
    <row r="8" spans="1:3">
      <c r="A8" t="s">
        <v>129</v>
      </c>
      <c r="B8" s="87">
        <f>'Rev and Profit Calculations'!D44+'Rev and Profit Calculations'!D45</f>
        <v>488917.69468407996</v>
      </c>
      <c r="C8" t="s">
        <v>130</v>
      </c>
    </row>
    <row r="10" spans="1:3">
      <c r="A10" t="s">
        <v>131</v>
      </c>
      <c r="B10" s="88">
        <f>B8/B6</f>
        <v>4299.4634598685352</v>
      </c>
    </row>
    <row r="11" spans="1:3" ht="15.75">
      <c r="A11" s="9" t="s">
        <v>132</v>
      </c>
      <c r="B11" s="107">
        <f>B10/B4</f>
        <v>0.77525327553845036</v>
      </c>
      <c r="C11" s="9" t="s">
        <v>133</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workbookViewId="0">
      <selection activeCell="G14" sqref="G14"/>
    </sheetView>
  </sheetViews>
  <sheetFormatPr defaultRowHeight="15.6"/>
  <sheetData>
    <row r="1" spans="1:9">
      <c r="A1" s="101" t="s">
        <v>134</v>
      </c>
    </row>
    <row r="2" spans="1:9">
      <c r="B2" t="s">
        <v>135</v>
      </c>
    </row>
    <row r="4" spans="1:9">
      <c r="A4" s="101" t="s">
        <v>136</v>
      </c>
    </row>
    <row r="5" spans="1:9">
      <c r="B5" t="s">
        <v>137</v>
      </c>
    </row>
    <row r="7" spans="1:9">
      <c r="A7" s="101" t="s">
        <v>138</v>
      </c>
    </row>
    <row r="8" spans="1:9">
      <c r="B8" t="s">
        <v>139</v>
      </c>
      <c r="I8" t="s">
        <v>140</v>
      </c>
    </row>
    <row r="9" spans="1:9">
      <c r="B9" t="s">
        <v>141</v>
      </c>
    </row>
    <row r="10" spans="1:9">
      <c r="A10" s="102" t="s">
        <v>142</v>
      </c>
      <c r="B10" t="s">
        <v>143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621BF143D3BC42B862D33A57346395" ma:contentTypeVersion="14" ma:contentTypeDescription="Create a new document." ma:contentTypeScope="" ma:versionID="49d7492c03fa8445db49d989c6649e6a">
  <xsd:schema xmlns:xsd="http://www.w3.org/2001/XMLSchema" xmlns:xs="http://www.w3.org/2001/XMLSchema" xmlns:p="http://schemas.microsoft.com/office/2006/metadata/properties" xmlns:ns2="15e91428-6db3-4329-9b69-fafdd2ee2e6f" xmlns:ns3="e3a022e8-7c92-417b-9ef6-ae140c7bb311" targetNamespace="http://schemas.microsoft.com/office/2006/metadata/properties" ma:root="true" ma:fieldsID="43fae173981a8c53c57844ceba361e2a" ns2:_="" ns3:_="">
    <xsd:import namespace="15e91428-6db3-4329-9b69-fafdd2ee2e6f"/>
    <xsd:import namespace="e3a022e8-7c92-417b-9ef6-ae140c7bb3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e91428-6db3-4329-9b69-fafdd2ee2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4f72d08-3d4d-4fd0-a57a-1f5ef5c7b47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a022e8-7c92-417b-9ef6-ae140c7bb3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73b6f20-565e-4f41-a97e-53ba3a41281d}" ma:internalName="TaxCatchAll" ma:showField="CatchAllData" ma:web="e3a022e8-7c92-417b-9ef6-ae140c7bb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a022e8-7c92-417b-9ef6-ae140c7bb311" xsi:nil="true"/>
    <lcf76f155ced4ddcb4097134ff3c332f xmlns="15e91428-6db3-4329-9b69-fafdd2ee2e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7ACB33-98EF-4DDE-9C57-3B5DE8CCF16E}"/>
</file>

<file path=customXml/itemProps2.xml><?xml version="1.0" encoding="utf-8"?>
<ds:datastoreItem xmlns:ds="http://schemas.openxmlformats.org/officeDocument/2006/customXml" ds:itemID="{5B441FFF-204F-4214-9D3F-D5848C0317AA}"/>
</file>

<file path=customXml/itemProps3.xml><?xml version="1.0" encoding="utf-8"?>
<ds:datastoreItem xmlns:ds="http://schemas.openxmlformats.org/officeDocument/2006/customXml" ds:itemID="{DBE63323-9997-4C38-8824-4B45608B0B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Silvers, Allison</cp:lastModifiedBy>
  <cp:revision/>
  <dcterms:created xsi:type="dcterms:W3CDTF">2021-04-05T00:28:06Z</dcterms:created>
  <dcterms:modified xsi:type="dcterms:W3CDTF">2026-01-12T18:59:12Z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0x010100CC621BF143D3BC42B862D33A57346395</vt:lpwstr>
  </property>
</Properties>
</file>